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610" windowHeight="11640"/>
  </bookViews>
  <sheets>
    <sheet name="Överblick" sheetId="1" r:id="rId1"/>
    <sheet name="Energibesparing" sheetId="2" r:id="rId2"/>
    <sheet name="Besparing med DOMO Power LED" sheetId="3" r:id="rId3"/>
    <sheet name="Data" sheetId="4" r:id="rId4"/>
    <sheet name="Blad1" sheetId="5" r:id="rId5"/>
  </sheets>
  <definedNames>
    <definedName name="AantalLampen">Överblick!$B$4</definedName>
    <definedName name="AantalLampenPPL">Överblick!$B$5</definedName>
    <definedName name="branddagen_jaar">Överblick!$B$7</definedName>
    <definedName name="branduren_dag">Överblick!$B$6</definedName>
    <definedName name="CO2perKWH">Överblick!$B$18</definedName>
    <definedName name="Energie_inflatie">Överblick!$B$17</definedName>
    <definedName name="KWHprijs">Överblick!$B$16</definedName>
    <definedName name="PPL_installatie">Överblick!$B$31</definedName>
    <definedName name="PPL_kost">Överblick!$B$30</definedName>
    <definedName name="PPLStrip_kost">Överblick!$B$34</definedName>
    <definedName name="PPLstrip_leven">Överblick!$B$35</definedName>
    <definedName name="PPLstrip_leven_huur">Överblick!#REF!</definedName>
    <definedName name="prijseerste6jaar">Överblick!#REF!</definedName>
    <definedName name="prijsna6jaar">Överblick!#REF!</definedName>
    <definedName name="projectduur">Överblick!$B$39</definedName>
    <definedName name="Subsidie">Överblick!$B$32</definedName>
    <definedName name="TL_armatuurleven">Överblick!$B$26</definedName>
    <definedName name="TL_kost">Överblick!$B$21</definedName>
    <definedName name="TL_leven">Överblick!$B$22</definedName>
    <definedName name="TL_vervanging">Överblick!$B$23</definedName>
    <definedName name="TLarmatuur_kost">Överblick!$B$25</definedName>
    <definedName name="TLarmatuur_leven">Överblick!$B$26</definedName>
    <definedName name="TLarmatuur_vervanging">Överblick!$B$27</definedName>
    <definedName name="_xlnm.Print_Area" localSheetId="0">Överblick!$D$1:$G$57</definedName>
    <definedName name="Watt_LED">Överblick!$B$11</definedName>
    <definedName name="Watt_PPL">Överblick!$B$11</definedName>
    <definedName name="Watt_TL">Överblick!$B$10</definedName>
  </definedNames>
  <calcPr calcId="125725"/>
</workbook>
</file>

<file path=xl/calcChain.xml><?xml version="1.0" encoding="utf-8"?>
<calcChain xmlns="http://schemas.openxmlformats.org/spreadsheetml/2006/main">
  <c r="E19" i="1"/>
  <c r="E28"/>
  <c r="E9"/>
  <c r="E8"/>
  <c r="E7"/>
  <c r="F7"/>
  <c r="E6"/>
  <c r="F6"/>
  <c r="E34"/>
  <c r="F9"/>
  <c r="F8"/>
  <c r="E4"/>
  <c r="F4"/>
  <c r="E3"/>
  <c r="E5" s="1"/>
  <c r="E26"/>
  <c r="E25"/>
  <c r="E29"/>
  <c r="E27"/>
  <c r="F3"/>
  <c r="F5" s="1"/>
  <c r="E17"/>
  <c r="E18"/>
  <c r="E20"/>
  <c r="E31"/>
  <c r="B12"/>
  <c r="E42"/>
  <c r="A4" i="2"/>
  <c r="A4" i="4" s="1"/>
  <c r="H3" i="2"/>
  <c r="H4" s="1"/>
  <c r="M4" s="1"/>
  <c r="B15" i="3"/>
  <c r="C3"/>
  <c r="D3"/>
  <c r="F7"/>
  <c r="B16"/>
  <c r="A3" i="4"/>
  <c r="D11" i="3"/>
  <c r="G3" i="2"/>
  <c r="E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"/>
  <c r="C11" i="3"/>
  <c r="A11"/>
  <c r="I7"/>
  <c r="H7"/>
  <c r="A7"/>
  <c r="D7"/>
  <c r="C7"/>
  <c r="B3"/>
  <c r="A3"/>
  <c r="B3" i="2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"/>
  <c r="M3" l="1"/>
  <c r="N3" s="1"/>
  <c r="E3" i="4" s="1"/>
  <c r="J3" i="2"/>
  <c r="K3" s="1"/>
  <c r="B3" i="4" s="1"/>
  <c r="E3" i="3"/>
  <c r="B11" s="1"/>
  <c r="E11" s="1"/>
  <c r="C16" s="1"/>
  <c r="D16" s="1"/>
  <c r="F13" i="1" s="1"/>
  <c r="E30"/>
  <c r="H5" i="2"/>
  <c r="J4"/>
  <c r="O4" s="1"/>
  <c r="E21" i="1"/>
  <c r="E22" s="1"/>
  <c r="N4" i="2"/>
  <c r="E4" i="4" s="1"/>
  <c r="E4" i="2"/>
  <c r="G4"/>
  <c r="A5"/>
  <c r="B7" i="3" l="1"/>
  <c r="E7" s="1"/>
  <c r="O3" i="2"/>
  <c r="P3"/>
  <c r="R3" s="1"/>
  <c r="E16" i="3"/>
  <c r="F3" i="4" s="1"/>
  <c r="G3" s="1"/>
  <c r="K4" i="2"/>
  <c r="B4" i="4" s="1"/>
  <c r="G7" i="3"/>
  <c r="J7" s="1"/>
  <c r="H6" i="2"/>
  <c r="J5"/>
  <c r="M5"/>
  <c r="N5" s="1"/>
  <c r="E5" i="4" s="1"/>
  <c r="C15" i="3"/>
  <c r="D15" s="1"/>
  <c r="P4" i="2"/>
  <c r="Q4" s="1"/>
  <c r="A6"/>
  <c r="A5" i="4"/>
  <c r="K5" i="2"/>
  <c r="E5"/>
  <c r="G5"/>
  <c r="R4"/>
  <c r="D17" i="3"/>
  <c r="E17" s="1"/>
  <c r="Q3" i="2"/>
  <c r="F4" i="4"/>
  <c r="G4" s="1"/>
  <c r="E15" i="3" l="1"/>
  <c r="C4" i="4" s="1"/>
  <c r="D4" s="1"/>
  <c r="H4" s="1"/>
  <c r="E13" i="1"/>
  <c r="F5" i="4"/>
  <c r="H7" i="2"/>
  <c r="J6"/>
  <c r="M6"/>
  <c r="G5" i="4"/>
  <c r="O5" i="2"/>
  <c r="C3" i="4"/>
  <c r="D3" s="1"/>
  <c r="H3" s="1"/>
  <c r="G13" i="1"/>
  <c r="B5" i="4"/>
  <c r="P5" i="2"/>
  <c r="R5" s="1"/>
  <c r="G6"/>
  <c r="E6"/>
  <c r="A6" i="4"/>
  <c r="A7" i="2"/>
  <c r="K6"/>
  <c r="B6" i="4" s="1"/>
  <c r="N6" i="2"/>
  <c r="C5" i="4" l="1"/>
  <c r="P6" i="2"/>
  <c r="R6" s="1"/>
  <c r="M7"/>
  <c r="N7" s="1"/>
  <c r="E7" i="4" s="1"/>
  <c r="H8" i="2"/>
  <c r="J7"/>
  <c r="O7" s="1"/>
  <c r="O6"/>
  <c r="D5" i="4"/>
  <c r="H5" s="1"/>
  <c r="E6"/>
  <c r="A8" i="2"/>
  <c r="A7" i="4"/>
  <c r="K7" i="2"/>
  <c r="E7"/>
  <c r="G7"/>
  <c r="Q6"/>
  <c r="C6" i="4"/>
  <c r="D6" s="1"/>
  <c r="F6"/>
  <c r="Q5" i="2"/>
  <c r="G6" i="4" l="1"/>
  <c r="H6" s="1"/>
  <c r="J8" i="2"/>
  <c r="K8" s="1"/>
  <c r="B8" i="4" s="1"/>
  <c r="M8" i="2"/>
  <c r="H9"/>
  <c r="P7"/>
  <c r="Q7" s="1"/>
  <c r="F7" i="4"/>
  <c r="G7" s="1"/>
  <c r="C7"/>
  <c r="B7"/>
  <c r="E8" i="2"/>
  <c r="A9"/>
  <c r="G8"/>
  <c r="A8" i="4"/>
  <c r="N8" i="2"/>
  <c r="E8" i="4" s="1"/>
  <c r="O8" i="2" l="1"/>
  <c r="J9"/>
  <c r="K9" s="1"/>
  <c r="M9"/>
  <c r="N9" s="1"/>
  <c r="H10"/>
  <c r="P8"/>
  <c r="Q8" s="1"/>
  <c r="R7"/>
  <c r="D7" i="4"/>
  <c r="H7" s="1"/>
  <c r="C8"/>
  <c r="D8" s="1"/>
  <c r="F8"/>
  <c r="G8" s="1"/>
  <c r="E9" i="2"/>
  <c r="G9"/>
  <c r="A10"/>
  <c r="A9" i="4"/>
  <c r="B9" l="1"/>
  <c r="P9" i="2"/>
  <c r="Q9" s="1"/>
  <c r="O9"/>
  <c r="M10"/>
  <c r="N10" s="1"/>
  <c r="E10" i="4" s="1"/>
  <c r="J10" i="2"/>
  <c r="K10" s="1"/>
  <c r="H11"/>
  <c r="H8" i="4"/>
  <c r="R8" i="2"/>
  <c r="R9" s="1"/>
  <c r="E9" i="4"/>
  <c r="E10" i="2"/>
  <c r="G10"/>
  <c r="A11"/>
  <c r="A10" i="4"/>
  <c r="F9"/>
  <c r="C9"/>
  <c r="D9" l="1"/>
  <c r="J11" i="2"/>
  <c r="K11" s="1"/>
  <c r="B11" i="4" s="1"/>
  <c r="M11" i="2"/>
  <c r="N11" s="1"/>
  <c r="E11" i="4" s="1"/>
  <c r="H12" i="2"/>
  <c r="O10"/>
  <c r="G9" i="4"/>
  <c r="P10" i="2"/>
  <c r="R10" s="1"/>
  <c r="B10" i="4"/>
  <c r="E11" i="2"/>
  <c r="G11"/>
  <c r="A12"/>
  <c r="A11" i="4"/>
  <c r="F10"/>
  <c r="G10" s="1"/>
  <c r="C10"/>
  <c r="H9" l="1"/>
  <c r="O11" i="2"/>
  <c r="H13"/>
  <c r="J12"/>
  <c r="M12"/>
  <c r="D10" i="4"/>
  <c r="H10" s="1"/>
  <c r="P11" i="2"/>
  <c r="Q11" s="1"/>
  <c r="Q10"/>
  <c r="C11" i="4"/>
  <c r="D11" s="1"/>
  <c r="F11"/>
  <c r="G11" s="1"/>
  <c r="G12" i="2"/>
  <c r="E12"/>
  <c r="N12"/>
  <c r="E12" i="4" s="1"/>
  <c r="K12" i="2"/>
  <c r="P12" s="1"/>
  <c r="Q12" s="1"/>
  <c r="A13"/>
  <c r="A12" i="4"/>
  <c r="R11" i="2" l="1"/>
  <c r="M13"/>
  <c r="J13"/>
  <c r="H14"/>
  <c r="O12"/>
  <c r="H11" i="4"/>
  <c r="R12" i="2"/>
  <c r="A14"/>
  <c r="E13"/>
  <c r="N13"/>
  <c r="E13" i="4" s="1"/>
  <c r="Q13" i="2"/>
  <c r="G13"/>
  <c r="A13" i="4"/>
  <c r="K13" i="2"/>
  <c r="B13" i="4" s="1"/>
  <c r="P13" i="2"/>
  <c r="F12" i="4"/>
  <c r="G12"/>
  <c r="C12"/>
  <c r="B12"/>
  <c r="D12" s="1"/>
  <c r="H12" s="1"/>
  <c r="R13" i="2" l="1"/>
  <c r="O13"/>
  <c r="H15"/>
  <c r="M14"/>
  <c r="J14"/>
  <c r="G14"/>
  <c r="E14"/>
  <c r="K14"/>
  <c r="B14" i="4" s="1"/>
  <c r="Q14" i="2"/>
  <c r="A14" i="4"/>
  <c r="A15" i="2"/>
  <c r="N14"/>
  <c r="E14" i="4" s="1"/>
  <c r="P14" i="2"/>
  <c r="R14" s="1"/>
  <c r="C13" i="4"/>
  <c r="H13"/>
  <c r="F13"/>
  <c r="G13"/>
  <c r="D13"/>
  <c r="J15" i="2" l="1"/>
  <c r="H16"/>
  <c r="M15"/>
  <c r="O14"/>
  <c r="A16"/>
  <c r="A15" i="4"/>
  <c r="Q15" i="2"/>
  <c r="E15"/>
  <c r="G15"/>
  <c r="N15"/>
  <c r="E15" i="4" s="1"/>
  <c r="K15" i="2"/>
  <c r="B15" i="4" s="1"/>
  <c r="P15" i="2"/>
  <c r="R15" s="1"/>
  <c r="C14" i="4"/>
  <c r="H14"/>
  <c r="F14"/>
  <c r="G14"/>
  <c r="D14"/>
  <c r="O15" i="2" l="1"/>
  <c r="J16"/>
  <c r="M16"/>
  <c r="H17"/>
  <c r="C15" i="4"/>
  <c r="G15"/>
  <c r="H15"/>
  <c r="F15"/>
  <c r="D15"/>
  <c r="E16" i="2"/>
  <c r="G16"/>
  <c r="P16"/>
  <c r="R16" s="1"/>
  <c r="Q16"/>
  <c r="A17"/>
  <c r="A16" i="4"/>
  <c r="N16" i="2"/>
  <c r="E16" i="4" s="1"/>
  <c r="K16" i="2"/>
  <c r="B16" i="4" s="1"/>
  <c r="O16" i="2" l="1"/>
  <c r="J17"/>
  <c r="H18"/>
  <c r="M17"/>
  <c r="A18"/>
  <c r="A17" i="4"/>
  <c r="E17" i="2"/>
  <c r="G17"/>
  <c r="N17"/>
  <c r="E17" i="4" s="1"/>
  <c r="K17" i="2"/>
  <c r="B17" i="4" s="1"/>
  <c r="P17" i="2"/>
  <c r="R17" s="1"/>
  <c r="Q17"/>
  <c r="C16" i="4"/>
  <c r="G16"/>
  <c r="D16"/>
  <c r="F16"/>
  <c r="H16"/>
  <c r="O17" i="2" l="1"/>
  <c r="J18"/>
  <c r="M18"/>
  <c r="H19"/>
  <c r="C17" i="4"/>
  <c r="G17"/>
  <c r="H17"/>
  <c r="F17"/>
  <c r="D17"/>
  <c r="G18" i="2"/>
  <c r="E18"/>
  <c r="A19"/>
  <c r="A18" i="4"/>
  <c r="N18" i="2"/>
  <c r="E18" i="4" s="1"/>
  <c r="K18" i="2"/>
  <c r="B18" i="4" s="1"/>
  <c r="P18" i="2"/>
  <c r="R18" s="1"/>
  <c r="Q18"/>
  <c r="O18" l="1"/>
  <c r="J19"/>
  <c r="H20"/>
  <c r="M19"/>
  <c r="A20"/>
  <c r="A19" i="4"/>
  <c r="P19" i="2"/>
  <c r="R19" s="1"/>
  <c r="Q19"/>
  <c r="E19"/>
  <c r="G19"/>
  <c r="N19"/>
  <c r="E19" i="4" s="1"/>
  <c r="K19" i="2"/>
  <c r="B19" i="4" s="1"/>
  <c r="F18"/>
  <c r="G18"/>
  <c r="H18"/>
  <c r="C18"/>
  <c r="D18"/>
  <c r="O19" i="2" l="1"/>
  <c r="H21"/>
  <c r="J20"/>
  <c r="M20"/>
  <c r="F19" i="4"/>
  <c r="G19"/>
  <c r="C19"/>
  <c r="D19"/>
  <c r="H19"/>
  <c r="E20" i="2"/>
  <c r="G20"/>
  <c r="K20"/>
  <c r="B20" i="4" s="1"/>
  <c r="Q20" i="2"/>
  <c r="A21"/>
  <c r="A20" i="4"/>
  <c r="N20" i="2"/>
  <c r="E20" i="4" s="1"/>
  <c r="P20" i="2"/>
  <c r="R20" s="1"/>
  <c r="O20" l="1"/>
  <c r="J21"/>
  <c r="H22"/>
  <c r="M21"/>
  <c r="A22"/>
  <c r="A21" i="4"/>
  <c r="N21" i="2"/>
  <c r="E21" i="4" s="1"/>
  <c r="K21" i="2"/>
  <c r="B21" i="4" s="1"/>
  <c r="G21" i="2"/>
  <c r="E21"/>
  <c r="P21"/>
  <c r="R21" s="1"/>
  <c r="Q21"/>
  <c r="F20" i="4"/>
  <c r="G20"/>
  <c r="H20"/>
  <c r="C20"/>
  <c r="D20"/>
  <c r="M22" i="2" l="1"/>
  <c r="H23"/>
  <c r="J22"/>
  <c r="O22" s="1"/>
  <c r="O21"/>
  <c r="A22" i="4"/>
  <c r="A23" i="2"/>
  <c r="K22"/>
  <c r="B22" i="4" s="1"/>
  <c r="P22" i="2"/>
  <c r="R22" s="1"/>
  <c r="E22"/>
  <c r="G22"/>
  <c r="N22"/>
  <c r="E22" i="4" s="1"/>
  <c r="Q22" i="2"/>
  <c r="C21" i="4"/>
  <c r="D21"/>
  <c r="F21"/>
  <c r="G21"/>
  <c r="H21"/>
  <c r="J23" i="2" l="1"/>
  <c r="M23"/>
  <c r="H24"/>
  <c r="G23"/>
  <c r="E23"/>
  <c r="N23"/>
  <c r="E23" i="4" s="1"/>
  <c r="K23" i="2"/>
  <c r="B23" i="4" s="1"/>
  <c r="Q23" i="2"/>
  <c r="A24"/>
  <c r="A23" i="4"/>
  <c r="P23" i="2"/>
  <c r="R23" s="1"/>
  <c r="F22" i="4"/>
  <c r="G22"/>
  <c r="C22"/>
  <c r="D22"/>
  <c r="H22"/>
  <c r="O23" i="2" l="1"/>
  <c r="M24"/>
  <c r="J24"/>
  <c r="H25"/>
  <c r="A25"/>
  <c r="G24"/>
  <c r="N24"/>
  <c r="E24" i="4" s="1"/>
  <c r="K24" i="2"/>
  <c r="B24" i="4" s="1"/>
  <c r="P24" i="2"/>
  <c r="R24" s="1"/>
  <c r="A24" i="4"/>
  <c r="E24" i="2"/>
  <c r="Q24"/>
  <c r="F23" i="4"/>
  <c r="H23"/>
  <c r="C23"/>
  <c r="D23"/>
  <c r="G23"/>
  <c r="J25" i="2" l="1"/>
  <c r="H26"/>
  <c r="M25"/>
  <c r="O24"/>
  <c r="C24" i="4"/>
  <c r="F24"/>
  <c r="D24"/>
  <c r="H24"/>
  <c r="G24"/>
  <c r="A26" i="2"/>
  <c r="G25"/>
  <c r="N25"/>
  <c r="E25" i="4" s="1"/>
  <c r="K25" i="2"/>
  <c r="B25" i="4" s="1"/>
  <c r="Q25" i="2"/>
  <c r="E25"/>
  <c r="P25"/>
  <c r="R25" s="1"/>
  <c r="A25" i="4"/>
  <c r="O25" i="2" l="1"/>
  <c r="J26"/>
  <c r="H27"/>
  <c r="M26"/>
  <c r="A26" i="4"/>
  <c r="A27" i="2"/>
  <c r="N26"/>
  <c r="E26" i="4" s="1"/>
  <c r="K26" i="2"/>
  <c r="B26" i="4" s="1"/>
  <c r="P26" i="2"/>
  <c r="R26" s="1"/>
  <c r="Q26"/>
  <c r="G26"/>
  <c r="E26"/>
  <c r="F25" i="4"/>
  <c r="G25"/>
  <c r="D25"/>
  <c r="H25"/>
  <c r="C25"/>
  <c r="M27" i="2" l="1"/>
  <c r="J27"/>
  <c r="H28"/>
  <c r="O26"/>
  <c r="N27"/>
  <c r="E27" i="4" s="1"/>
  <c r="K27" i="2"/>
  <c r="B27" i="4" s="1"/>
  <c r="A28" i="2"/>
  <c r="Q27"/>
  <c r="A27" i="4"/>
  <c r="G27" i="2"/>
  <c r="E27"/>
  <c r="P27"/>
  <c r="R27" s="1"/>
  <c r="C26" i="4"/>
  <c r="D26"/>
  <c r="H26"/>
  <c r="F26"/>
  <c r="G26"/>
  <c r="H29" i="2" l="1"/>
  <c r="J28"/>
  <c r="M28"/>
  <c r="O27"/>
  <c r="F27" i="4"/>
  <c r="D27"/>
  <c r="H27"/>
  <c r="C27"/>
  <c r="G27"/>
  <c r="K28" i="2"/>
  <c r="B28" i="4" s="1"/>
  <c r="P28" i="2"/>
  <c r="R28" s="1"/>
  <c r="E28"/>
  <c r="G28"/>
  <c r="A28" i="4"/>
  <c r="Q28" i="2"/>
  <c r="A29"/>
  <c r="N28"/>
  <c r="E28" i="4" s="1"/>
  <c r="O28" i="2" l="1"/>
  <c r="J29"/>
  <c r="M29"/>
  <c r="G29"/>
  <c r="N29"/>
  <c r="Q29"/>
  <c r="E29"/>
  <c r="E31" s="1"/>
  <c r="P29"/>
  <c r="P31" s="1"/>
  <c r="K29"/>
  <c r="A29" i="4"/>
  <c r="D28"/>
  <c r="G28"/>
  <c r="C28"/>
  <c r="H28"/>
  <c r="F28"/>
  <c r="O29" i="2" l="1"/>
  <c r="D29" i="4"/>
  <c r="G29"/>
  <c r="C29"/>
  <c r="H29"/>
  <c r="F29"/>
  <c r="B29"/>
  <c r="K31" i="2"/>
  <c r="E12" i="1" s="1"/>
  <c r="E29" i="4"/>
  <c r="N31" i="2"/>
  <c r="F12" i="1" s="1"/>
  <c r="F14" s="1"/>
  <c r="R29" i="2"/>
  <c r="R31" s="1"/>
  <c r="E14" i="1" l="1"/>
  <c r="G14" s="1"/>
  <c r="E35" s="1"/>
  <c r="G12"/>
  <c r="E32"/>
  <c r="E36" s="1"/>
  <c r="E41" l="1"/>
  <c r="I3" s="1"/>
  <c r="D1" s="1"/>
  <c r="E37"/>
  <c r="E39" s="1"/>
  <c r="E40" s="1"/>
</calcChain>
</file>

<file path=xl/sharedStrings.xml><?xml version="1.0" encoding="utf-8"?>
<sst xmlns="http://schemas.openxmlformats.org/spreadsheetml/2006/main" count="143" uniqueCount="100">
  <si>
    <t>Totaal</t>
  </si>
  <si>
    <t>Besparing</t>
  </si>
  <si>
    <t>Kg CO2 per KwH</t>
  </si>
  <si>
    <t>YES</t>
  </si>
  <si>
    <t>NO</t>
  </si>
  <si>
    <t>Total</t>
  </si>
  <si>
    <t>Fyll i data för projektet</t>
  </si>
  <si>
    <t>Armaturer</t>
  </si>
  <si>
    <t>Antal existerande lysrör</t>
  </si>
  <si>
    <t>Antal operativa timmar per dag</t>
  </si>
  <si>
    <t>Antal operativa dagar per år</t>
  </si>
  <si>
    <t>Förbrukning i watt</t>
  </si>
  <si>
    <t>Förbrukning existerande lysrör i watt (inkl. ballast)</t>
  </si>
  <si>
    <t>Elkostnad</t>
  </si>
  <si>
    <t>KWh Pris (inkl. skatt etc.)</t>
  </si>
  <si>
    <t xml:space="preserve">Genomsnittlig prisökning i % </t>
  </si>
  <si>
    <t>Kostnad lysrör</t>
  </si>
  <si>
    <t>Livslängd i timmar</t>
  </si>
  <si>
    <t>Inköpspris armatur</t>
  </si>
  <si>
    <t>Installationskostnad (arbetskostnad)</t>
  </si>
  <si>
    <t>Lysrör</t>
  </si>
  <si>
    <t>Energikostnad</t>
  </si>
  <si>
    <t>Ersättningskostnad</t>
  </si>
  <si>
    <t>Totalt</t>
  </si>
  <si>
    <t>Summa</t>
  </si>
  <si>
    <t>Total investering</t>
  </si>
  <si>
    <t>Elimenering av lysrörsinvestering</t>
  </si>
  <si>
    <t>Netto investering</t>
  </si>
  <si>
    <t>Besparing under hela projektstiden</t>
  </si>
  <si>
    <t>Total besparing</t>
  </si>
  <si>
    <t>Netto besparing</t>
  </si>
  <si>
    <t>ROI i år</t>
  </si>
  <si>
    <t>Reducerat CO2 utsläpp (Kg)</t>
  </si>
  <si>
    <t>Övrigt (rörelsesensorer m.m.)</t>
  </si>
  <si>
    <t>Inköpspris lysrör per styck</t>
  </si>
  <si>
    <t>Installationskostnad (arbetskostnad) per styck</t>
  </si>
  <si>
    <t>Pris övrigt (rörelsesensorer m.m.), totalt</t>
  </si>
  <si>
    <t>År</t>
  </si>
  <si>
    <t>Dagar / År</t>
  </si>
  <si>
    <t>Gemensamma faktorer</t>
  </si>
  <si>
    <t>Timmar / Dag</t>
  </si>
  <si>
    <t>KWH pris</t>
  </si>
  <si>
    <t>Årlig kostnad</t>
  </si>
  <si>
    <t>Besparing / Armatur</t>
  </si>
  <si>
    <t>Energybesparing</t>
  </si>
  <si>
    <t>Total operativ i timmar</t>
  </si>
  <si>
    <t>Projekt tid i år</t>
  </si>
  <si>
    <t>Lysrörsbyte och inköpskostnader</t>
  </si>
  <si>
    <t>Livslängd</t>
  </si>
  <si>
    <t>Byteskostnad</t>
  </si>
  <si>
    <t>Inköpskostnad</t>
  </si>
  <si>
    <t># Antal byten</t>
  </si>
  <si>
    <t>Lysrörsarmaturbyte och inköpskostnader</t>
  </si>
  <si>
    <t>Översikt Inköp</t>
  </si>
  <si>
    <t>Kostnad / lampa över hela projekttiden</t>
  </si>
  <si>
    <t>Total Kostnad</t>
  </si>
  <si>
    <t>Årlig besparing</t>
  </si>
  <si>
    <t># Lampor</t>
  </si>
  <si>
    <t>Operativ i timmar</t>
  </si>
  <si>
    <t># Lysrör</t>
  </si>
  <si>
    <t>% Besparing</t>
  </si>
  <si>
    <t>Totalt operativ timmar lysrör</t>
  </si>
  <si>
    <t>Totalt operativ timmar Premium Power LED</t>
  </si>
  <si>
    <t># Premium Power LED</t>
  </si>
  <si>
    <t>Watt</t>
  </si>
  <si>
    <t>Sammanlagda besparingar</t>
  </si>
  <si>
    <t>Planerade Ni att ersätta Er befintliga belysning</t>
  </si>
  <si>
    <t>Projektstid i år</t>
  </si>
  <si>
    <t>Energi- och byteskostnad Lysrör</t>
  </si>
  <si>
    <t>Med reservation för tekniska ändringar och felskrivningar</t>
  </si>
  <si>
    <t>Copyright © LED &amp; LED 2012. Alla rättigheter reserverade</t>
  </si>
  <si>
    <t>Antal</t>
  </si>
  <si>
    <t>Pris per lysrörsarmatur (beräknat per lysrör)</t>
  </si>
  <si>
    <t>Pris per lysrör</t>
  </si>
  <si>
    <t>Elimenering av Lysrörsinvestering</t>
  </si>
  <si>
    <t>Effekt inkl. ballast</t>
  </si>
  <si>
    <t>Driftskostnader över hela projektstiden</t>
  </si>
  <si>
    <t>Differens</t>
  </si>
  <si>
    <t>Installationskostnad (arbetskostnad) utbytes per styck</t>
  </si>
  <si>
    <t>Installationskostnad (arbete) per utbytes lysrör</t>
  </si>
  <si>
    <t>Installationskostnad (arbete) per lysrörsarmatur</t>
  </si>
  <si>
    <t>Installationskostnad (arbete) per utbytes ledstrip</t>
  </si>
  <si>
    <t>Ersättningskostnad (inköp) efter förbrukad livslängd</t>
  </si>
  <si>
    <t>Total effekt per timme</t>
  </si>
  <si>
    <t xml:space="preserve">ROI (Return on Investment) är beräknad till </t>
  </si>
  <si>
    <t xml:space="preserve"> år</t>
  </si>
  <si>
    <t>DOMO Power LED</t>
  </si>
  <si>
    <t>Antal nya DOMO Power LED</t>
  </si>
  <si>
    <t>% Besparing DOMO Power LED vs Lysrör</t>
  </si>
  <si>
    <t>Investering DOMO Power LED</t>
  </si>
  <si>
    <t>Pris per DOMO Power LED</t>
  </si>
  <si>
    <t>Installationskostnad (arbete) per DOMO Power LED</t>
  </si>
  <si>
    <t>Kostnad DOMO Power LED</t>
  </si>
  <si>
    <t>Pris DOMO Power LED per styck</t>
  </si>
  <si>
    <t>Pris DOMO Power LED strip efter 80 000 timmar</t>
  </si>
  <si>
    <t>Genomsnittlig besparing per år med DOMO Power LED</t>
  </si>
  <si>
    <t>Genomsnittlig besparing per DOMO Power LED och år</t>
  </si>
  <si>
    <t>Energi- och byteskostnad DOMO Power LED</t>
  </si>
  <si>
    <t>DOMO Power LED byte och inköpskostnader</t>
  </si>
  <si>
    <t>Förbrukning DOMO Power LED</t>
  </si>
</sst>
</file>

<file path=xl/styles.xml><?xml version="1.0" encoding="utf-8"?>
<styleSheet xmlns="http://schemas.openxmlformats.org/spreadsheetml/2006/main">
  <numFmts count="21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"/>
    <numFmt numFmtId="167" formatCode="0.0%"/>
    <numFmt numFmtId="168" formatCode="_(* #,##0_);_(* \(#,##0\);_(* &quot;-&quot;??_);_(@_)"/>
    <numFmt numFmtId="169" formatCode="_([$€-2]\ * #,##0.00_);_([$€-2]\ * \(#,##0.00\);_([$€-2]\ * &quot;-&quot;??_);_(@_)"/>
    <numFmt numFmtId="170" formatCode="#,##0\ &quot;kr&quot;"/>
    <numFmt numFmtId="171" formatCode="#,##0.00\ &quot;kr&quot;"/>
    <numFmt numFmtId="172" formatCode="#,##0\ _k_r"/>
    <numFmt numFmtId="173" formatCode="#,##0&quot; watt&quot;"/>
    <numFmt numFmtId="174" formatCode="#,##0&quot; år&quot;"/>
    <numFmt numFmtId="175" formatCode="#,##0.00&quot; år&quot;"/>
    <numFmt numFmtId="176" formatCode="#,##0&quot; Kg&quot;"/>
    <numFmt numFmtId="177" formatCode="#,##0&quot; timmar&quot;"/>
    <numFmt numFmtId="178" formatCode="#,##0&quot; dagar&quot;"/>
    <numFmt numFmtId="179" formatCode="#,##0&quot; st&quot;"/>
    <numFmt numFmtId="180" formatCode="#,##0&quot; watt/timme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11" xfId="0" applyBorder="1" applyAlignment="1"/>
    <xf numFmtId="166" fontId="0" fillId="0" borderId="8" xfId="0" applyNumberFormat="1" applyBorder="1"/>
    <xf numFmtId="166" fontId="0" fillId="0" borderId="10" xfId="0" applyNumberFormat="1" applyBorder="1"/>
    <xf numFmtId="9" fontId="0" fillId="0" borderId="0" xfId="2" applyFont="1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1" fontId="0" fillId="0" borderId="1" xfId="0" applyNumberFormat="1" applyBorder="1"/>
    <xf numFmtId="1" fontId="0" fillId="0" borderId="2" xfId="2" applyNumberFormat="1" applyFont="1" applyBorder="1"/>
    <xf numFmtId="168" fontId="0" fillId="0" borderId="0" xfId="1" applyNumberFormat="1" applyFont="1" applyBorder="1" applyAlignment="1"/>
    <xf numFmtId="168" fontId="0" fillId="0" borderId="6" xfId="1" applyNumberFormat="1" applyFont="1" applyBorder="1"/>
    <xf numFmtId="168" fontId="0" fillId="0" borderId="2" xfId="1" applyNumberFormat="1" applyFont="1" applyBorder="1"/>
    <xf numFmtId="168" fontId="0" fillId="0" borderId="3" xfId="1" applyNumberFormat="1" applyFont="1" applyBorder="1"/>
    <xf numFmtId="0" fontId="2" fillId="0" borderId="10" xfId="0" applyFont="1" applyBorder="1"/>
    <xf numFmtId="0" fontId="0" fillId="0" borderId="10" xfId="0" quotePrefix="1" applyBorder="1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168" fontId="0" fillId="0" borderId="2" xfId="1" applyNumberFormat="1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/>
    <xf numFmtId="0" fontId="0" fillId="0" borderId="5" xfId="0" applyFill="1" applyBorder="1" applyAlignment="1">
      <alignment horizontal="center" wrapText="1"/>
    </xf>
    <xf numFmtId="168" fontId="0" fillId="0" borderId="10" xfId="0" applyNumberFormat="1" applyBorder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/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2" fillId="0" borderId="4" xfId="0" applyFont="1" applyBorder="1"/>
    <xf numFmtId="0" fontId="0" fillId="0" borderId="11" xfId="0" quotePrefix="1" applyBorder="1" applyAlignment="1">
      <alignment horizontal="center" wrapText="1"/>
    </xf>
    <xf numFmtId="170" fontId="0" fillId="0" borderId="12" xfId="0" applyNumberFormat="1" applyBorder="1"/>
    <xf numFmtId="170" fontId="0" fillId="0" borderId="11" xfId="0" applyNumberFormat="1" applyBorder="1"/>
    <xf numFmtId="170" fontId="0" fillId="0" borderId="0" xfId="0" applyNumberFormat="1"/>
    <xf numFmtId="170" fontId="0" fillId="0" borderId="0" xfId="0" applyNumberFormat="1" applyBorder="1"/>
    <xf numFmtId="170" fontId="0" fillId="0" borderId="9" xfId="0" applyNumberFormat="1" applyBorder="1"/>
    <xf numFmtId="170" fontId="0" fillId="0" borderId="13" xfId="0" applyNumberFormat="1" applyBorder="1"/>
    <xf numFmtId="170" fontId="0" fillId="0" borderId="15" xfId="0" applyNumberFormat="1" applyBorder="1"/>
    <xf numFmtId="170" fontId="0" fillId="0" borderId="4" xfId="0" applyNumberFormat="1" applyBorder="1"/>
    <xf numFmtId="170" fontId="2" fillId="0" borderId="3" xfId="0" applyNumberFormat="1" applyFont="1" applyBorder="1"/>
    <xf numFmtId="170" fontId="0" fillId="0" borderId="22" xfId="0" applyNumberFormat="1" applyBorder="1"/>
    <xf numFmtId="170" fontId="0" fillId="0" borderId="23" xfId="0" applyNumberFormat="1" applyBorder="1"/>
    <xf numFmtId="170" fontId="5" fillId="0" borderId="0" xfId="0" applyNumberFormat="1" applyFont="1"/>
    <xf numFmtId="170" fontId="0" fillId="0" borderId="12" xfId="0" applyNumberFormat="1" applyBorder="1" applyAlignment="1">
      <alignment horizontal="center" wrapText="1"/>
    </xf>
    <xf numFmtId="170" fontId="0" fillId="0" borderId="9" xfId="1" applyNumberFormat="1" applyFont="1" applyBorder="1"/>
    <xf numFmtId="170" fontId="0" fillId="0" borderId="12" xfId="1" applyNumberFormat="1" applyFont="1" applyBorder="1"/>
    <xf numFmtId="170" fontId="0" fillId="0" borderId="7" xfId="1" applyNumberFormat="1" applyFont="1" applyBorder="1"/>
    <xf numFmtId="170" fontId="0" fillId="0" borderId="3" xfId="1" applyNumberFormat="1" applyFont="1" applyBorder="1"/>
    <xf numFmtId="170" fontId="0" fillId="0" borderId="11" xfId="1" applyNumberFormat="1" applyFont="1" applyBorder="1" applyAlignment="1">
      <alignment horizontal="center" wrapText="1"/>
    </xf>
    <xf numFmtId="170" fontId="0" fillId="0" borderId="0" xfId="1" applyNumberFormat="1" applyFont="1" applyBorder="1"/>
    <xf numFmtId="170" fontId="0" fillId="0" borderId="6" xfId="1" applyNumberFormat="1" applyFont="1" applyBorder="1"/>
    <xf numFmtId="170" fontId="0" fillId="0" borderId="2" xfId="1" applyNumberFormat="1" applyFont="1" applyBorder="1"/>
    <xf numFmtId="170" fontId="0" fillId="0" borderId="10" xfId="0" applyNumberFormat="1" applyBorder="1" applyAlignment="1">
      <alignment wrapText="1"/>
    </xf>
    <xf numFmtId="170" fontId="0" fillId="0" borderId="8" xfId="0" applyNumberFormat="1" applyBorder="1"/>
    <xf numFmtId="170" fontId="0" fillId="0" borderId="10" xfId="0" applyNumberFormat="1" applyBorder="1"/>
    <xf numFmtId="170" fontId="0" fillId="0" borderId="5" xfId="0" applyNumberFormat="1" applyBorder="1"/>
    <xf numFmtId="170" fontId="0" fillId="0" borderId="1" xfId="0" applyNumberFormat="1" applyBorder="1"/>
    <xf numFmtId="170" fontId="0" fillId="0" borderId="11" xfId="0" applyNumberFormat="1" applyBorder="1" applyAlignment="1"/>
    <xf numFmtId="170" fontId="0" fillId="0" borderId="6" xfId="0" applyNumberFormat="1" applyBorder="1"/>
    <xf numFmtId="170" fontId="0" fillId="0" borderId="2" xfId="0" applyNumberFormat="1" applyBorder="1"/>
    <xf numFmtId="171" fontId="0" fillId="0" borderId="12" xfId="0" applyNumberFormat="1" applyBorder="1" applyAlignment="1"/>
    <xf numFmtId="171" fontId="0" fillId="0" borderId="9" xfId="0" applyNumberFormat="1" applyBorder="1" applyAlignment="1"/>
    <xf numFmtId="171" fontId="0" fillId="0" borderId="9" xfId="0" applyNumberFormat="1" applyBorder="1"/>
    <xf numFmtId="171" fontId="0" fillId="0" borderId="12" xfId="0" applyNumberFormat="1" applyBorder="1"/>
    <xf numFmtId="171" fontId="0" fillId="0" borderId="7" xfId="0" applyNumberFormat="1" applyBorder="1"/>
    <xf numFmtId="171" fontId="0" fillId="0" borderId="3" xfId="0" applyNumberFormat="1" applyBorder="1"/>
    <xf numFmtId="171" fontId="0" fillId="0" borderId="0" xfId="0" applyNumberFormat="1"/>
    <xf numFmtId="0" fontId="0" fillId="0" borderId="0" xfId="0" applyFont="1" applyBorder="1" applyAlignment="1">
      <alignment horizontal="right"/>
    </xf>
    <xf numFmtId="0" fontId="6" fillId="0" borderId="0" xfId="0" applyFont="1"/>
    <xf numFmtId="42" fontId="6" fillId="0" borderId="0" xfId="0" applyNumberFormat="1" applyFont="1"/>
    <xf numFmtId="41" fontId="6" fillId="0" borderId="0" xfId="0" applyNumberFormat="1" applyFont="1"/>
    <xf numFmtId="43" fontId="6" fillId="0" borderId="0" xfId="0" applyNumberFormat="1" applyFont="1"/>
    <xf numFmtId="172" fontId="6" fillId="0" borderId="0" xfId="0" applyNumberFormat="1" applyFont="1"/>
    <xf numFmtId="0" fontId="7" fillId="0" borderId="0" xfId="0" applyFont="1"/>
    <xf numFmtId="0" fontId="2" fillId="0" borderId="0" xfId="0" applyFont="1" applyFill="1" applyBorder="1" applyAlignment="1"/>
    <xf numFmtId="172" fontId="2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3" borderId="0" xfId="0" applyFont="1" applyFill="1" applyAlignment="1"/>
    <xf numFmtId="0" fontId="0" fillId="0" borderId="0" xfId="0" applyFont="1" applyAlignment="1"/>
    <xf numFmtId="0" fontId="13" fillId="0" borderId="5" xfId="0" applyFont="1" applyBorder="1" applyAlignment="1"/>
    <xf numFmtId="0" fontId="14" fillId="0" borderId="16" xfId="0" applyFont="1" applyBorder="1" applyAlignment="1"/>
    <xf numFmtId="0" fontId="14" fillId="0" borderId="8" xfId="0" applyFont="1" applyBorder="1" applyAlignment="1"/>
    <xf numFmtId="0" fontId="14" fillId="0" borderId="18" xfId="0" applyFont="1" applyBorder="1" applyAlignment="1"/>
    <xf numFmtId="0" fontId="15" fillId="0" borderId="18" xfId="0" applyFont="1" applyBorder="1" applyAlignment="1"/>
    <xf numFmtId="0" fontId="13" fillId="0" borderId="8" xfId="0" applyFont="1" applyFill="1" applyBorder="1" applyAlignment="1"/>
    <xf numFmtId="0" fontId="14" fillId="5" borderId="8" xfId="0" applyFont="1" applyFill="1" applyBorder="1" applyAlignment="1"/>
    <xf numFmtId="0" fontId="12" fillId="0" borderId="8" xfId="0" applyFont="1" applyBorder="1" applyAlignment="1"/>
    <xf numFmtId="0" fontId="0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8" fillId="0" borderId="0" xfId="0" applyFont="1" applyAlignment="1"/>
    <xf numFmtId="179" fontId="12" fillId="0" borderId="5" xfId="0" applyNumberFormat="1" applyFont="1" applyBorder="1" applyAlignment="1"/>
    <xf numFmtId="179" fontId="12" fillId="0" borderId="7" xfId="0" applyNumberFormat="1" applyFont="1" applyBorder="1" applyAlignment="1"/>
    <xf numFmtId="173" fontId="12" fillId="0" borderId="8" xfId="0" applyNumberFormat="1" applyFont="1" applyBorder="1" applyAlignment="1"/>
    <xf numFmtId="173" fontId="12" fillId="0" borderId="9" xfId="0" applyNumberFormat="1" applyFont="1" applyBorder="1" applyAlignment="1"/>
    <xf numFmtId="180" fontId="12" fillId="0" borderId="8" xfId="0" applyNumberFormat="1" applyFont="1" applyBorder="1" applyAlignment="1"/>
    <xf numFmtId="180" fontId="12" fillId="0" borderId="9" xfId="0" applyNumberFormat="1" applyFont="1" applyBorder="1" applyAlignment="1"/>
    <xf numFmtId="177" fontId="12" fillId="0" borderId="8" xfId="3" applyNumberFormat="1" applyFont="1" applyFill="1" applyBorder="1" applyAlignment="1"/>
    <xf numFmtId="177" fontId="12" fillId="0" borderId="9" xfId="3" applyNumberFormat="1" applyFont="1" applyFill="1" applyBorder="1" applyAlignment="1"/>
    <xf numFmtId="170" fontId="12" fillId="0" borderId="8" xfId="3" applyNumberFormat="1" applyFont="1" applyFill="1" applyBorder="1" applyAlignment="1"/>
    <xf numFmtId="170" fontId="12" fillId="0" borderId="9" xfId="3" applyNumberFormat="1" applyFont="1" applyFill="1" applyBorder="1" applyAlignment="1"/>
    <xf numFmtId="178" fontId="12" fillId="0" borderId="10" xfId="0" applyNumberFormat="1" applyFont="1" applyBorder="1" applyAlignment="1"/>
    <xf numFmtId="178" fontId="12" fillId="0" borderId="12" xfId="0" applyNumberFormat="1" applyFont="1" applyBorder="1" applyAlignment="1"/>
    <xf numFmtId="0" fontId="11" fillId="0" borderId="0" xfId="0" applyFont="1" applyAlignment="1"/>
    <xf numFmtId="0" fontId="12" fillId="0" borderId="15" xfId="0" applyFont="1" applyBorder="1" applyAlignment="1"/>
    <xf numFmtId="42" fontId="12" fillId="0" borderId="0" xfId="3" applyNumberFormat="1" applyFont="1" applyBorder="1" applyAlignment="1"/>
    <xf numFmtId="42" fontId="12" fillId="0" borderId="15" xfId="3" applyNumberFormat="1" applyFont="1" applyBorder="1" applyAlignment="1"/>
    <xf numFmtId="0" fontId="11" fillId="2" borderId="4" xfId="0" applyFont="1" applyFill="1" applyBorder="1" applyAlignment="1"/>
    <xf numFmtId="42" fontId="11" fillId="2" borderId="2" xfId="3" applyNumberFormat="1" applyFont="1" applyFill="1" applyBorder="1" applyAlignment="1"/>
    <xf numFmtId="0" fontId="11" fillId="0" borderId="0" xfId="0" applyFont="1" applyFill="1" applyBorder="1" applyAlignment="1"/>
    <xf numFmtId="42" fontId="11" fillId="0" borderId="0" xfId="3" applyNumberFormat="1" applyFont="1" applyFill="1" applyBorder="1" applyAlignment="1"/>
    <xf numFmtId="0" fontId="11" fillId="0" borderId="0" xfId="0" applyFont="1" applyBorder="1" applyAlignment="1">
      <alignment horizontal="right"/>
    </xf>
    <xf numFmtId="42" fontId="12" fillId="0" borderId="11" xfId="0" applyNumberFormat="1" applyFont="1" applyBorder="1" applyAlignment="1"/>
    <xf numFmtId="0" fontId="12" fillId="0" borderId="0" xfId="0" applyFont="1" applyBorder="1" applyAlignment="1"/>
    <xf numFmtId="42" fontId="12" fillId="0" borderId="9" xfId="3" applyNumberFormat="1" applyFont="1" applyBorder="1" applyAlignment="1"/>
    <xf numFmtId="0" fontId="12" fillId="5" borderId="15" xfId="0" applyFont="1" applyFill="1" applyBorder="1" applyAlignment="1"/>
    <xf numFmtId="0" fontId="12" fillId="0" borderId="4" xfId="0" applyFont="1" applyBorder="1" applyAlignment="1"/>
    <xf numFmtId="42" fontId="12" fillId="0" borderId="3" xfId="3" applyNumberFormat="1" applyFont="1" applyBorder="1" applyAlignment="1"/>
    <xf numFmtId="0" fontId="12" fillId="0" borderId="13" xfId="0" applyFont="1" applyFill="1" applyBorder="1" applyAlignment="1"/>
    <xf numFmtId="42" fontId="12" fillId="0" borderId="13" xfId="0" applyNumberFormat="1" applyFont="1" applyBorder="1" applyAlignment="1"/>
    <xf numFmtId="179" fontId="12" fillId="0" borderId="8" xfId="0" applyNumberFormat="1" applyFont="1" applyBorder="1" applyAlignment="1"/>
    <xf numFmtId="0" fontId="12" fillId="0" borderId="15" xfId="0" applyFont="1" applyFill="1" applyBorder="1" applyAlignment="1"/>
    <xf numFmtId="42" fontId="12" fillId="0" borderId="15" xfId="0" applyNumberFormat="1" applyFont="1" applyBorder="1" applyAlignment="1"/>
    <xf numFmtId="0" fontId="12" fillId="5" borderId="14" xfId="0" applyFont="1" applyFill="1" applyBorder="1" applyAlignment="1"/>
    <xf numFmtId="42" fontId="12" fillId="0" borderId="14" xfId="0" applyNumberFormat="1" applyFont="1" applyBorder="1" applyAlignment="1"/>
    <xf numFmtId="0" fontId="12" fillId="0" borderId="4" xfId="0" applyFont="1" applyFill="1" applyBorder="1" applyAlignment="1"/>
    <xf numFmtId="42" fontId="12" fillId="0" borderId="4" xfId="0" applyNumberFormat="1" applyFont="1" applyBorder="1" applyAlignment="1"/>
    <xf numFmtId="0" fontId="16" fillId="0" borderId="15" xfId="0" applyFont="1" applyFill="1" applyBorder="1" applyAlignment="1"/>
    <xf numFmtId="42" fontId="16" fillId="0" borderId="9" xfId="3" applyNumberFormat="1" applyFont="1" applyBorder="1" applyAlignment="1"/>
    <xf numFmtId="42" fontId="11" fillId="2" borderId="3" xfId="3" applyNumberFormat="1" applyFont="1" applyFill="1" applyBorder="1" applyAlignment="1"/>
    <xf numFmtId="42" fontId="12" fillId="0" borderId="0" xfId="0" applyNumberFormat="1" applyFont="1" applyAlignment="1"/>
    <xf numFmtId="174" fontId="11" fillId="0" borderId="11" xfId="0" applyNumberFormat="1" applyFont="1" applyBorder="1" applyAlignment="1">
      <alignment horizontal="right"/>
    </xf>
    <xf numFmtId="0" fontId="16" fillId="0" borderId="0" xfId="0" applyFont="1" applyAlignment="1"/>
    <xf numFmtId="42" fontId="11" fillId="0" borderId="0" xfId="0" applyNumberFormat="1" applyFont="1" applyFill="1" applyBorder="1" applyAlignment="1"/>
    <xf numFmtId="0" fontId="11" fillId="2" borderId="13" xfId="0" applyFont="1" applyFill="1" applyBorder="1" applyAlignment="1"/>
    <xf numFmtId="42" fontId="11" fillId="2" borderId="7" xfId="3" applyNumberFormat="1" applyFont="1" applyFill="1" applyBorder="1" applyAlignment="1"/>
    <xf numFmtId="0" fontId="11" fillId="2" borderId="15" xfId="0" applyFont="1" applyFill="1" applyBorder="1" applyAlignment="1"/>
    <xf numFmtId="42" fontId="11" fillId="2" borderId="9" xfId="3" applyNumberFormat="1" applyFont="1" applyFill="1" applyBorder="1" applyAlignment="1"/>
    <xf numFmtId="0" fontId="10" fillId="6" borderId="14" xfId="0" applyFont="1" applyFill="1" applyBorder="1" applyAlignment="1"/>
    <xf numFmtId="175" fontId="10" fillId="6" borderId="12" xfId="0" applyNumberFormat="1" applyFont="1" applyFill="1" applyBorder="1" applyAlignment="1"/>
    <xf numFmtId="0" fontId="11" fillId="4" borderId="4" xfId="0" applyFont="1" applyFill="1" applyBorder="1" applyAlignment="1"/>
    <xf numFmtId="176" fontId="11" fillId="4" borderId="3" xfId="0" applyNumberFormat="1" applyFont="1" applyFill="1" applyBorder="1" applyAlignment="1"/>
    <xf numFmtId="0" fontId="12" fillId="0" borderId="7" xfId="0" applyFont="1" applyBorder="1" applyAlignment="1">
      <alignment horizontal="right"/>
    </xf>
    <xf numFmtId="0" fontId="12" fillId="3" borderId="0" xfId="0" applyFont="1" applyFill="1" applyAlignment="1"/>
    <xf numFmtId="0" fontId="12" fillId="0" borderId="17" xfId="0" applyFont="1" applyBorder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right"/>
      <protection locked="0"/>
    </xf>
    <xf numFmtId="0" fontId="12" fillId="0" borderId="19" xfId="0" applyFont="1" applyBorder="1" applyAlignment="1" applyProtection="1">
      <alignment horizontal="right"/>
      <protection locked="0"/>
    </xf>
    <xf numFmtId="0" fontId="12" fillId="0" borderId="9" xfId="0" applyFont="1" applyBorder="1" applyAlignment="1">
      <alignment horizontal="right"/>
    </xf>
    <xf numFmtId="0" fontId="17" fillId="0" borderId="8" xfId="0" applyFont="1" applyBorder="1" applyAlignment="1"/>
    <xf numFmtId="1" fontId="12" fillId="0" borderId="17" xfId="0" applyNumberFormat="1" applyFont="1" applyBorder="1" applyAlignment="1" applyProtection="1">
      <protection locked="0"/>
    </xf>
    <xf numFmtId="167" fontId="16" fillId="0" borderId="19" xfId="0" applyNumberFormat="1" applyFont="1" applyBorder="1" applyAlignment="1">
      <alignment horizontal="right"/>
    </xf>
    <xf numFmtId="167" fontId="12" fillId="0" borderId="9" xfId="2" applyNumberFormat="1" applyFont="1" applyBorder="1" applyAlignment="1" applyProtection="1">
      <alignment horizontal="right"/>
    </xf>
    <xf numFmtId="0" fontId="12" fillId="0" borderId="19" xfId="1" applyNumberFormat="1" applyFont="1" applyBorder="1" applyAlignment="1" applyProtection="1">
      <alignment horizontal="right"/>
    </xf>
    <xf numFmtId="169" fontId="12" fillId="0" borderId="9" xfId="0" applyNumberFormat="1" applyFont="1" applyBorder="1" applyAlignment="1">
      <alignment horizontal="right"/>
    </xf>
    <xf numFmtId="42" fontId="12" fillId="0" borderId="17" xfId="3" applyNumberFormat="1" applyFont="1" applyBorder="1" applyAlignment="1" applyProtection="1">
      <alignment horizontal="right"/>
      <protection locked="0"/>
    </xf>
    <xf numFmtId="3" fontId="12" fillId="0" borderId="9" xfId="1" applyNumberFormat="1" applyFont="1" applyBorder="1" applyAlignment="1" applyProtection="1">
      <alignment horizontal="right"/>
      <protection locked="0"/>
    </xf>
    <xf numFmtId="42" fontId="12" fillId="0" borderId="9" xfId="3" applyNumberFormat="1" applyFont="1" applyBorder="1" applyAlignment="1" applyProtection="1">
      <alignment horizontal="right"/>
      <protection locked="0"/>
    </xf>
    <xf numFmtId="42" fontId="12" fillId="0" borderId="19" xfId="3" applyNumberFormat="1" applyFont="1" applyBorder="1" applyAlignment="1" applyProtection="1">
      <alignment horizontal="right"/>
      <protection locked="0"/>
    </xf>
    <xf numFmtId="42" fontId="12" fillId="0" borderId="9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/>
    <xf numFmtId="0" fontId="12" fillId="0" borderId="21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right"/>
    </xf>
    <xf numFmtId="42" fontId="11" fillId="6" borderId="4" xfId="3" applyNumberFormat="1" applyFont="1" applyFill="1" applyBorder="1" applyAlignment="1"/>
    <xf numFmtId="0" fontId="20" fillId="0" borderId="1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1" xfId="0" applyFont="1" applyBorder="1" applyAlignment="1"/>
    <xf numFmtId="0" fontId="20" fillId="0" borderId="0" xfId="0" applyFont="1" applyBorder="1" applyAlignment="1">
      <alignment horizontal="right"/>
    </xf>
    <xf numFmtId="0" fontId="12" fillId="0" borderId="14" xfId="0" applyFont="1" applyFill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170" fontId="2" fillId="0" borderId="0" xfId="0" applyNumberFormat="1" applyFont="1" applyAlignment="1">
      <alignment horizontal="center"/>
    </xf>
    <xf numFmtId="0" fontId="21" fillId="0" borderId="0" xfId="0" applyFont="1" applyAlignment="1" applyProtection="1">
      <protection hidden="1"/>
    </xf>
    <xf numFmtId="0" fontId="22" fillId="0" borderId="0" xfId="0" applyFont="1" applyAlignment="1"/>
    <xf numFmtId="166" fontId="12" fillId="0" borderId="9" xfId="0" applyNumberFormat="1" applyFont="1" applyBorder="1" applyAlignment="1" applyProtection="1">
      <alignment horizontal="right"/>
      <protection locked="0"/>
    </xf>
    <xf numFmtId="44" fontId="12" fillId="0" borderId="17" xfId="3" applyNumberFormat="1" applyFont="1" applyBorder="1" applyAlignment="1" applyProtection="1">
      <alignment horizontal="right"/>
    </xf>
    <xf numFmtId="3" fontId="12" fillId="0" borderId="9" xfId="1" applyNumberFormat="1" applyFont="1" applyBorder="1" applyAlignment="1" applyProtection="1">
      <alignment horizontal="right"/>
    </xf>
  </cellXfs>
  <cellStyles count="6">
    <cellStyle name="Följd hyperlänk" xfId="5" builtinId="9" hidden="1"/>
    <cellStyle name="Hyperlänk" xfId="4" builtinId="8" hidden="1"/>
    <cellStyle name="Normal" xfId="0" builtinId="0"/>
    <cellStyle name="Procent" xfId="2" builtinId="5"/>
    <cellStyle name="Tusental" xfId="1" builtinId="3"/>
    <cellStyle name="Valuta" xfId="3" builtinId="4"/>
  </cellStyles>
  <dxfs count="0"/>
  <tableStyles count="0" defaultTableStyle="TableStyleMedium9" defaultPivotStyle="PivotStyleLight16"/>
  <colors>
    <mruColors>
      <color rgb="FF66FF33"/>
      <color rgb="FF66CCFF"/>
      <color rgb="FF008000"/>
      <color rgb="FFD9D9D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8092220100956608E-2"/>
          <c:y val="5.8473850051542903E-2"/>
          <c:w val="0.91618424722644398"/>
          <c:h val="0.89884840738630511"/>
        </c:manualLayout>
      </c:layout>
      <c:lineChart>
        <c:grouping val="standard"/>
        <c:ser>
          <c:idx val="0"/>
          <c:order val="0"/>
          <c:tx>
            <c:strRef>
              <c:f>Data!$D$2</c:f>
              <c:strCache>
                <c:ptCount val="1"/>
                <c:pt idx="0">
                  <c:v>Energi- och byteskostnad Lysrör</c:v>
                </c:pt>
              </c:strCache>
            </c:strRef>
          </c:tx>
          <c:val>
            <c:numRef>
              <c:f>Data!$D$3:$D$29</c:f>
              <c:numCache>
                <c:formatCode>#,##0\ "kr"</c:formatCode>
                <c:ptCount val="27"/>
                <c:pt idx="0">
                  <c:v>114008.88888888889</c:v>
                </c:pt>
                <c:pt idx="1">
                  <c:v>120526.32888888891</c:v>
                </c:pt>
                <c:pt idx="2">
                  <c:v>127447.85016888888</c:v>
                </c:pt>
                <c:pt idx="3">
                  <c:v>134798.5057682489</c:v>
                </c:pt>
                <c:pt idx="4">
                  <c:v>142604.90201476921</c:v>
                </c:pt>
                <c:pt idx="5">
                  <c:v>150895.29482857377</c:v>
                </c:pt>
                <c:pt idx="6">
                  <c:v>159699.69199683427</c:v>
                </c:pt>
                <c:pt idx="7">
                  <c:v>169049.96178952689</c:v>
                </c:pt>
                <c:pt idx="8">
                  <c:v>178979.94830936647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Data!$G$2</c:f>
              <c:strCache>
                <c:ptCount val="1"/>
                <c:pt idx="0">
                  <c:v>Energi- och byteskostnad DOMO Power LED</c:v>
                </c:pt>
              </c:strCache>
            </c:strRef>
          </c:tx>
          <c:cat>
            <c:numRef>
              <c:f>Data!$A$3:$A$29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Data!$G$3:$G$29</c:f>
              <c:numCache>
                <c:formatCode>#,##0\ "kr"</c:formatCode>
                <c:ptCount val="27"/>
                <c:pt idx="0">
                  <c:v>52560</c:v>
                </c:pt>
                <c:pt idx="1">
                  <c:v>55818.720000000008</c:v>
                </c:pt>
                <c:pt idx="2">
                  <c:v>59279.480640000009</c:v>
                </c:pt>
                <c:pt idx="3">
                  <c:v>62954.808439680004</c:v>
                </c:pt>
                <c:pt idx="4">
                  <c:v>66858.006562940165</c:v>
                </c:pt>
                <c:pt idx="5">
                  <c:v>71003.202969842459</c:v>
                </c:pt>
                <c:pt idx="6">
                  <c:v>75405.401553972712</c:v>
                </c:pt>
                <c:pt idx="7">
                  <c:v>80080.536450319021</c:v>
                </c:pt>
                <c:pt idx="8">
                  <c:v>85045.529710238799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Data!$H$2</c:f>
              <c:strCache>
                <c:ptCount val="1"/>
                <c:pt idx="0">
                  <c:v>Årlig besparing</c:v>
                </c:pt>
              </c:strCache>
            </c:strRef>
          </c:tx>
          <c:val>
            <c:numRef>
              <c:f>Data!$H$3:$H$29</c:f>
              <c:numCache>
                <c:formatCode>#,##0\ "kr"</c:formatCode>
                <c:ptCount val="27"/>
                <c:pt idx="0">
                  <c:v>61448.888888888891</c:v>
                </c:pt>
                <c:pt idx="1">
                  <c:v>64707.608888888899</c:v>
                </c:pt>
                <c:pt idx="2">
                  <c:v>68168.36952888887</c:v>
                </c:pt>
                <c:pt idx="3">
                  <c:v>71843.697328568902</c:v>
                </c:pt>
                <c:pt idx="4">
                  <c:v>75746.895451829041</c:v>
                </c:pt>
                <c:pt idx="5">
                  <c:v>79892.091858731306</c:v>
                </c:pt>
                <c:pt idx="6">
                  <c:v>84294.290442861558</c:v>
                </c:pt>
                <c:pt idx="7">
                  <c:v>88969.425339207868</c:v>
                </c:pt>
                <c:pt idx="8">
                  <c:v>93934.418599127675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marker val="1"/>
        <c:axId val="80529280"/>
        <c:axId val="86939520"/>
      </c:lineChart>
      <c:catAx>
        <c:axId val="805292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6939520"/>
        <c:crosses val="autoZero"/>
        <c:auto val="1"/>
        <c:lblAlgn val="ctr"/>
        <c:lblOffset val="100"/>
      </c:catAx>
      <c:valAx>
        <c:axId val="86939520"/>
        <c:scaling>
          <c:orientation val="minMax"/>
        </c:scaling>
        <c:axPos val="l"/>
        <c:numFmt formatCode="#,##0\ &quot;kr&quot;" sourceLinked="1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05292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23650806540054"/>
          <c:y val="0.10206449925007123"/>
          <c:w val="0.52588286605717482"/>
          <c:h val="0.51826786401617209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zero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22412</xdr:rowOff>
    </xdr:from>
    <xdr:to>
      <xdr:col>6</xdr:col>
      <xdr:colOff>549088</xdr:colOff>
      <xdr:row>56</xdr:row>
      <xdr:rowOff>145677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5" zoomScaleNormal="85" zoomScalePageLayoutView="85" workbookViewId="0"/>
  </sheetViews>
  <sheetFormatPr defaultColWidth="8.85546875" defaultRowHeight="15"/>
  <cols>
    <col min="1" max="1" width="57.85546875" style="93" customWidth="1"/>
    <col min="2" max="2" width="18.85546875" style="102" customWidth="1"/>
    <col min="3" max="3" width="4.42578125" style="92" customWidth="1"/>
    <col min="4" max="4" width="47.28515625" style="93" bestFit="1" customWidth="1"/>
    <col min="5" max="5" width="16.5703125" style="93" bestFit="1" customWidth="1"/>
    <col min="6" max="6" width="17.42578125" style="93" bestFit="1" customWidth="1"/>
    <col min="7" max="7" width="10.5703125" style="93" bestFit="1" customWidth="1"/>
    <col min="8" max="8" width="10.28515625" style="93" bestFit="1" customWidth="1"/>
    <col min="9" max="10" width="8.85546875" style="93"/>
    <col min="11" max="11" width="9.7109375" style="93" customWidth="1"/>
    <col min="12" max="16384" width="8.85546875" style="93"/>
  </cols>
  <sheetData>
    <row r="1" spans="1:10" ht="18.75">
      <c r="A1" s="91" t="s">
        <v>6</v>
      </c>
      <c r="B1" s="82"/>
      <c r="D1" s="184" t="str">
        <f>CONCATENATE(I1,I3,J3)</f>
        <v>ROI (Return on Investment) är beräknad till 3,2 år</v>
      </c>
      <c r="E1" s="185"/>
      <c r="F1" s="185"/>
      <c r="G1" s="185"/>
      <c r="I1" s="196" t="s">
        <v>84</v>
      </c>
    </row>
    <row r="2" spans="1:10" ht="13.5" customHeight="1" thickBot="1">
      <c r="A2" s="91"/>
      <c r="B2" s="82"/>
      <c r="D2" s="104"/>
      <c r="E2" s="182" t="s">
        <v>20</v>
      </c>
      <c r="F2" s="180" t="s">
        <v>86</v>
      </c>
      <c r="G2" s="104"/>
    </row>
    <row r="3" spans="1:10" s="104" customFormat="1" ht="13.5" customHeight="1">
      <c r="A3" s="94" t="s">
        <v>7</v>
      </c>
      <c r="B3" s="157"/>
      <c r="C3" s="158"/>
      <c r="D3" s="133" t="s">
        <v>71</v>
      </c>
      <c r="E3" s="106">
        <f>SUM(AantalLampen)</f>
        <v>200</v>
      </c>
      <c r="F3" s="107">
        <f>SUM(AantalLampenPPL)</f>
        <v>100</v>
      </c>
      <c r="I3" s="197" t="str">
        <f>FIXED(E41,1)</f>
        <v>3,2</v>
      </c>
      <c r="J3" s="197" t="s">
        <v>85</v>
      </c>
    </row>
    <row r="4" spans="1:10" s="104" customFormat="1" ht="13.5" customHeight="1">
      <c r="A4" s="95" t="s">
        <v>8</v>
      </c>
      <c r="B4" s="159">
        <v>200</v>
      </c>
      <c r="C4" s="158"/>
      <c r="D4" s="136" t="s">
        <v>75</v>
      </c>
      <c r="E4" s="108">
        <f>SUM(Watt_TL)</f>
        <v>60</v>
      </c>
      <c r="F4" s="109">
        <f>SUM(Watt_LED)</f>
        <v>60</v>
      </c>
      <c r="I4" s="147"/>
    </row>
    <row r="5" spans="1:10" s="104" customFormat="1" ht="13.5" customHeight="1">
      <c r="A5" s="96" t="s">
        <v>87</v>
      </c>
      <c r="B5" s="160">
        <v>100</v>
      </c>
      <c r="C5" s="158"/>
      <c r="D5" s="136" t="s">
        <v>83</v>
      </c>
      <c r="E5" s="110">
        <f>SUM(E3*E4)</f>
        <v>12000</v>
      </c>
      <c r="F5" s="111">
        <f>SUM(F3*F4)</f>
        <v>6000</v>
      </c>
    </row>
    <row r="6" spans="1:10" s="104" customFormat="1" ht="13.5" customHeight="1">
      <c r="A6" s="96" t="s">
        <v>9</v>
      </c>
      <c r="B6" s="160">
        <v>24</v>
      </c>
      <c r="C6" s="158"/>
      <c r="D6" s="136" t="s">
        <v>17</v>
      </c>
      <c r="E6" s="112">
        <f>SUM(TL_leven)</f>
        <v>18000</v>
      </c>
      <c r="F6" s="113">
        <f>SUM(PPLstrip_leven)</f>
        <v>80000</v>
      </c>
    </row>
    <row r="7" spans="1:10" s="104" customFormat="1" ht="13.5" customHeight="1">
      <c r="A7" s="97" t="s">
        <v>10</v>
      </c>
      <c r="B7" s="161">
        <v>365</v>
      </c>
      <c r="C7" s="158"/>
      <c r="D7" s="136" t="s">
        <v>82</v>
      </c>
      <c r="E7" s="114">
        <f>SUM(TL_kost)</f>
        <v>100</v>
      </c>
      <c r="F7" s="115">
        <f>SUM(PPLStrip_kost)</f>
        <v>1800</v>
      </c>
    </row>
    <row r="8" spans="1:10" s="104" customFormat="1" ht="13.5" customHeight="1">
      <c r="A8" s="101"/>
      <c r="B8" s="162"/>
      <c r="C8" s="158"/>
      <c r="D8" s="136" t="s">
        <v>9</v>
      </c>
      <c r="E8" s="112">
        <f>SUM(branduren_dag)</f>
        <v>24</v>
      </c>
      <c r="F8" s="113">
        <f>SUM(branduren_dag)</f>
        <v>24</v>
      </c>
    </row>
    <row r="9" spans="1:10" s="104" customFormat="1" ht="13.5" customHeight="1" thickBot="1">
      <c r="A9" s="163" t="s">
        <v>11</v>
      </c>
      <c r="B9" s="162"/>
      <c r="C9" s="158"/>
      <c r="D9" s="183" t="s">
        <v>10</v>
      </c>
      <c r="E9" s="116">
        <f>SUM(branddagen_jaar)</f>
        <v>365</v>
      </c>
      <c r="F9" s="117">
        <f>SUM(branddagen_jaar)</f>
        <v>365</v>
      </c>
    </row>
    <row r="10" spans="1:10" s="104" customFormat="1" ht="13.5" customHeight="1">
      <c r="A10" s="95" t="s">
        <v>12</v>
      </c>
      <c r="B10" s="164">
        <v>60</v>
      </c>
      <c r="C10" s="158"/>
      <c r="D10" s="118"/>
    </row>
    <row r="11" spans="1:10" s="104" customFormat="1" ht="13.5" customHeight="1" thickBot="1">
      <c r="A11" s="96" t="s">
        <v>99</v>
      </c>
      <c r="B11" s="198">
        <v>60</v>
      </c>
      <c r="C11" s="158"/>
      <c r="D11" s="181" t="s">
        <v>76</v>
      </c>
      <c r="E11" s="179" t="s">
        <v>20</v>
      </c>
      <c r="F11" s="179" t="s">
        <v>86</v>
      </c>
      <c r="G11" s="179" t="s">
        <v>77</v>
      </c>
    </row>
    <row r="12" spans="1:10" s="104" customFormat="1" ht="13.5" customHeight="1">
      <c r="A12" s="98" t="s">
        <v>88</v>
      </c>
      <c r="B12" s="165">
        <f>((Watt_LED*AantalLampenPPL)-(Watt_TL*AantalLampen))/(Watt_TL*AantalLampen)*-1</f>
        <v>0.5</v>
      </c>
      <c r="C12" s="158"/>
      <c r="D12" s="119" t="s">
        <v>21</v>
      </c>
      <c r="E12" s="120">
        <f>Energibesparing!K31</f>
        <v>1218011.3726539863</v>
      </c>
      <c r="F12" s="120">
        <f>Energibesparing!N31</f>
        <v>609005.68632699316</v>
      </c>
      <c r="G12" s="121">
        <f>E12-F12</f>
        <v>609005.68632699316</v>
      </c>
    </row>
    <row r="13" spans="1:10" s="104" customFormat="1" ht="13.5" customHeight="1" thickBot="1">
      <c r="A13" s="101"/>
      <c r="B13" s="162"/>
      <c r="C13" s="158"/>
      <c r="D13" s="119" t="s">
        <v>22</v>
      </c>
      <c r="E13" s="120">
        <f>'Besparing med DOMO Power LED'!D15</f>
        <v>80000</v>
      </c>
      <c r="F13" s="120">
        <f>'Besparing med DOMO Power LED'!D16</f>
        <v>0</v>
      </c>
      <c r="G13" s="121">
        <f>E13-F13</f>
        <v>80000</v>
      </c>
    </row>
    <row r="14" spans="1:10" s="104" customFormat="1" ht="13.5" customHeight="1" thickBot="1">
      <c r="A14" s="101"/>
      <c r="B14" s="162"/>
      <c r="C14" s="158"/>
      <c r="D14" s="122" t="s">
        <v>23</v>
      </c>
      <c r="E14" s="123">
        <f>E12+E13</f>
        <v>1298011.3726539863</v>
      </c>
      <c r="F14" s="123">
        <f>F12+F13</f>
        <v>609005.68632699316</v>
      </c>
      <c r="G14" s="178">
        <f>E14-F14</f>
        <v>689005.68632699316</v>
      </c>
    </row>
    <row r="15" spans="1:10" s="104" customFormat="1" ht="13.5" customHeight="1">
      <c r="A15" s="163" t="s">
        <v>13</v>
      </c>
      <c r="B15" s="162"/>
      <c r="C15" s="158"/>
      <c r="D15" s="124"/>
      <c r="E15" s="125"/>
      <c r="F15" s="125"/>
      <c r="G15" s="126"/>
    </row>
    <row r="16" spans="1:10" s="104" customFormat="1" ht="13.5" customHeight="1" thickBot="1">
      <c r="A16" s="95" t="s">
        <v>14</v>
      </c>
      <c r="B16" s="199">
        <v>1</v>
      </c>
      <c r="C16" s="158"/>
      <c r="D16" s="181" t="s">
        <v>89</v>
      </c>
      <c r="E16" s="127"/>
      <c r="F16" s="126"/>
      <c r="G16" s="128"/>
    </row>
    <row r="17" spans="1:7" s="104" customFormat="1" ht="13.5" customHeight="1">
      <c r="A17" s="96" t="s">
        <v>15</v>
      </c>
      <c r="B17" s="166">
        <v>6.2E-2</v>
      </c>
      <c r="C17" s="158"/>
      <c r="D17" s="119" t="s">
        <v>90</v>
      </c>
      <c r="E17" s="129">
        <f>PPL_kost</f>
        <v>3980</v>
      </c>
      <c r="F17" s="128"/>
      <c r="G17" s="128"/>
    </row>
    <row r="18" spans="1:7" s="104" customFormat="1" ht="13.5" customHeight="1">
      <c r="A18" s="97" t="s">
        <v>2</v>
      </c>
      <c r="B18" s="167">
        <v>0.63</v>
      </c>
      <c r="C18" s="158"/>
      <c r="D18" s="119" t="s">
        <v>91</v>
      </c>
      <c r="E18" s="129">
        <f>PPL_installatie</f>
        <v>0</v>
      </c>
      <c r="F18" s="128"/>
      <c r="G18" s="128"/>
    </row>
    <row r="19" spans="1:7" s="104" customFormat="1" ht="13.5" customHeight="1">
      <c r="A19" s="101"/>
      <c r="B19" s="168"/>
      <c r="C19" s="158"/>
      <c r="D19" s="119" t="s">
        <v>81</v>
      </c>
      <c r="E19" s="129">
        <f>SUM(Subsidie)</f>
        <v>0</v>
      </c>
      <c r="F19" s="128"/>
      <c r="G19" s="128"/>
    </row>
    <row r="20" spans="1:7" s="104" customFormat="1" ht="13.5" customHeight="1" thickBot="1">
      <c r="A20" s="163" t="s">
        <v>16</v>
      </c>
      <c r="B20" s="168"/>
      <c r="C20" s="158"/>
      <c r="D20" s="130" t="s">
        <v>33</v>
      </c>
      <c r="E20" s="129">
        <f>Subsidie*(PPL_kost+PPL_installatie)</f>
        <v>0</v>
      </c>
      <c r="F20" s="128"/>
      <c r="G20" s="128"/>
    </row>
    <row r="21" spans="1:7" s="104" customFormat="1" ht="13.5" customHeight="1" thickBot="1">
      <c r="A21" s="95" t="s">
        <v>34</v>
      </c>
      <c r="B21" s="169">
        <v>100</v>
      </c>
      <c r="C21" s="158"/>
      <c r="D21" s="131" t="s">
        <v>24</v>
      </c>
      <c r="E21" s="132">
        <f>E17+E18-E20</f>
        <v>3980</v>
      </c>
      <c r="F21" s="128"/>
      <c r="G21" s="128"/>
    </row>
    <row r="22" spans="1:7" s="104" customFormat="1" ht="13.5" customHeight="1" thickBot="1">
      <c r="A22" s="96" t="s">
        <v>17</v>
      </c>
      <c r="B22" s="170">
        <v>18000</v>
      </c>
      <c r="C22" s="158"/>
      <c r="D22" s="122" t="s">
        <v>25</v>
      </c>
      <c r="E22" s="144">
        <f>E21*AantalLampenPPL</f>
        <v>398000</v>
      </c>
      <c r="F22" s="128"/>
      <c r="G22" s="126"/>
    </row>
    <row r="23" spans="1:7" s="104" customFormat="1" ht="13.5" customHeight="1">
      <c r="A23" s="96" t="s">
        <v>35</v>
      </c>
      <c r="B23" s="171">
        <v>0</v>
      </c>
      <c r="C23" s="158"/>
      <c r="D23" s="124"/>
      <c r="E23" s="125"/>
      <c r="F23" s="128"/>
      <c r="G23" s="128"/>
    </row>
    <row r="24" spans="1:7" s="104" customFormat="1" ht="13.5" customHeight="1" thickBot="1">
      <c r="A24" s="96" t="s">
        <v>78</v>
      </c>
      <c r="B24" s="173">
        <v>0</v>
      </c>
      <c r="C24" s="158"/>
      <c r="D24" s="181" t="s">
        <v>74</v>
      </c>
      <c r="E24" s="127"/>
      <c r="F24" s="126"/>
      <c r="G24" s="128"/>
    </row>
    <row r="25" spans="1:7" s="104" customFormat="1" ht="13.5" customHeight="1">
      <c r="A25" s="96" t="s">
        <v>18</v>
      </c>
      <c r="B25" s="171">
        <v>650</v>
      </c>
      <c r="C25" s="158"/>
      <c r="D25" s="133" t="s">
        <v>72</v>
      </c>
      <c r="E25" s="134">
        <f>SUM(TLarmatuur_kost)</f>
        <v>650</v>
      </c>
      <c r="F25" s="135"/>
    </row>
    <row r="26" spans="1:7" s="104" customFormat="1" ht="13.5" customHeight="1">
      <c r="A26" s="96" t="s">
        <v>17</v>
      </c>
      <c r="B26" s="170">
        <v>80000</v>
      </c>
      <c r="C26" s="158"/>
      <c r="D26" s="136" t="s">
        <v>73</v>
      </c>
      <c r="E26" s="137">
        <f>SUM(TL_kost)</f>
        <v>100</v>
      </c>
    </row>
    <row r="27" spans="1:7" s="104" customFormat="1" ht="13.5" customHeight="1">
      <c r="A27" s="97" t="s">
        <v>19</v>
      </c>
      <c r="B27" s="172">
        <v>0</v>
      </c>
      <c r="C27" s="158"/>
      <c r="D27" s="119" t="s">
        <v>80</v>
      </c>
      <c r="E27" s="137">
        <f>SUM(TL_vervanging)</f>
        <v>0</v>
      </c>
    </row>
    <row r="28" spans="1:7" s="104" customFormat="1" ht="13.5" customHeight="1">
      <c r="A28" s="101"/>
      <c r="B28" s="168"/>
      <c r="C28" s="158"/>
      <c r="D28" s="119" t="s">
        <v>79</v>
      </c>
      <c r="E28" s="137">
        <f>SUM(B24)</f>
        <v>0</v>
      </c>
    </row>
    <row r="29" spans="1:7" s="104" customFormat="1" ht="13.5" customHeight="1" thickBot="1">
      <c r="A29" s="99" t="s">
        <v>92</v>
      </c>
      <c r="B29" s="168"/>
      <c r="C29" s="158"/>
      <c r="D29" s="138" t="s">
        <v>33</v>
      </c>
      <c r="E29" s="139">
        <f>SUM(B24)</f>
        <v>0</v>
      </c>
    </row>
    <row r="30" spans="1:7" s="104" customFormat="1" ht="13.5" customHeight="1" thickBot="1">
      <c r="A30" s="95" t="s">
        <v>93</v>
      </c>
      <c r="B30" s="169">
        <v>3980</v>
      </c>
      <c r="C30" s="158"/>
      <c r="D30" s="140" t="s">
        <v>24</v>
      </c>
      <c r="E30" s="141">
        <f>SUM(E25:E29)</f>
        <v>750</v>
      </c>
    </row>
    <row r="31" spans="1:7" s="104" customFormat="1" ht="13.5" customHeight="1" thickBot="1">
      <c r="A31" s="96" t="s">
        <v>35</v>
      </c>
      <c r="B31" s="171">
        <v>0</v>
      </c>
      <c r="C31" s="158"/>
      <c r="D31" s="142" t="s">
        <v>26</v>
      </c>
      <c r="E31" s="143">
        <f>IF(B38="YES",(TL_kost+TLarmatuur_kost+TLarmatuur_vervanging)*AantalLampen,0)</f>
        <v>150000</v>
      </c>
    </row>
    <row r="32" spans="1:7" s="104" customFormat="1" ht="13.5" customHeight="1" thickBot="1">
      <c r="A32" s="96" t="s">
        <v>78</v>
      </c>
      <c r="B32" s="173">
        <v>0</v>
      </c>
      <c r="C32" s="158"/>
      <c r="D32" s="122" t="s">
        <v>27</v>
      </c>
      <c r="E32" s="144">
        <f>E22-E31</f>
        <v>248000</v>
      </c>
    </row>
    <row r="33" spans="1:6" s="104" customFormat="1" ht="13.5" customHeight="1">
      <c r="A33" s="100" t="s">
        <v>36</v>
      </c>
      <c r="B33" s="173">
        <v>0</v>
      </c>
      <c r="C33" s="158"/>
      <c r="E33" s="145"/>
    </row>
    <row r="34" spans="1:6" s="104" customFormat="1" ht="13.5" customHeight="1" thickBot="1">
      <c r="A34" s="96" t="s">
        <v>94</v>
      </c>
      <c r="B34" s="171">
        <v>1800</v>
      </c>
      <c r="C34" s="158"/>
      <c r="D34" s="181" t="s">
        <v>28</v>
      </c>
      <c r="E34" s="146">
        <f>SUM(projectduur)</f>
        <v>9</v>
      </c>
    </row>
    <row r="35" spans="1:6" s="104" customFormat="1" ht="13.5" customHeight="1">
      <c r="A35" s="96" t="s">
        <v>17</v>
      </c>
      <c r="B35" s="200">
        <v>80000</v>
      </c>
      <c r="C35" s="158"/>
      <c r="D35" s="119" t="s">
        <v>29</v>
      </c>
      <c r="E35" s="129">
        <f>G14</f>
        <v>689005.68632699316</v>
      </c>
      <c r="F35" s="147"/>
    </row>
    <row r="36" spans="1:6" s="104" customFormat="1" ht="13.5" customHeight="1" thickBot="1">
      <c r="A36" s="97" t="s">
        <v>19</v>
      </c>
      <c r="B36" s="172">
        <v>0</v>
      </c>
      <c r="C36" s="158"/>
      <c r="D36" s="119" t="s">
        <v>27</v>
      </c>
      <c r="E36" s="129">
        <f>E32</f>
        <v>248000</v>
      </c>
    </row>
    <row r="37" spans="1:6" s="104" customFormat="1" ht="13.5" customHeight="1" thickBot="1">
      <c r="A37" s="96"/>
      <c r="B37" s="168"/>
      <c r="C37" s="158"/>
      <c r="D37" s="122" t="s">
        <v>30</v>
      </c>
      <c r="E37" s="144">
        <f>E35-E36</f>
        <v>441005.68632699316</v>
      </c>
    </row>
    <row r="38" spans="1:6" s="104" customFormat="1" ht="13.5" customHeight="1" thickBot="1">
      <c r="A38" s="101" t="s">
        <v>66</v>
      </c>
      <c r="B38" s="160" t="s">
        <v>3</v>
      </c>
      <c r="C38" s="158"/>
      <c r="D38" s="124"/>
      <c r="E38" s="148"/>
    </row>
    <row r="39" spans="1:6" s="104" customFormat="1" ht="13.5" customHeight="1" thickBot="1">
      <c r="A39" s="174" t="s">
        <v>67</v>
      </c>
      <c r="B39" s="175">
        <v>9</v>
      </c>
      <c r="C39" s="158"/>
      <c r="D39" s="149" t="s">
        <v>95</v>
      </c>
      <c r="E39" s="150">
        <f>E37/projectduur</f>
        <v>49000.631814110355</v>
      </c>
    </row>
    <row r="40" spans="1:6" s="104" customFormat="1" ht="13.5" customHeight="1">
      <c r="B40" s="176"/>
      <c r="C40" s="158"/>
      <c r="D40" s="151" t="s">
        <v>96</v>
      </c>
      <c r="E40" s="152">
        <f>E39/AantalLampenPPL</f>
        <v>490.00631814110352</v>
      </c>
    </row>
    <row r="41" spans="1:6" s="104" customFormat="1" ht="13.5" customHeight="1" thickBot="1">
      <c r="B41" s="177" t="s">
        <v>3</v>
      </c>
      <c r="C41" s="158"/>
      <c r="D41" s="153" t="s">
        <v>31</v>
      </c>
      <c r="E41" s="154">
        <f>E36/E35*projectduur</f>
        <v>3.239450768394271</v>
      </c>
    </row>
    <row r="42" spans="1:6" s="104" customFormat="1" ht="13.5" customHeight="1" thickBot="1">
      <c r="A42" s="93"/>
      <c r="B42" s="102" t="s">
        <v>4</v>
      </c>
      <c r="C42" s="158"/>
      <c r="D42" s="155" t="s">
        <v>32</v>
      </c>
      <c r="E42" s="156">
        <f>(AantalLampen*Watt_TL*branduren_dag*branddagen_jaar-AantalLampenPPL*branduren_dag*branddagen_jaar*Watt_LED)/1000*projectduur*CO2perKWH</f>
        <v>298015.2</v>
      </c>
    </row>
    <row r="43" spans="1:6">
      <c r="D43" s="89"/>
      <c r="E43" s="90"/>
    </row>
    <row r="44" spans="1:6">
      <c r="A44" s="103" t="s">
        <v>69</v>
      </c>
      <c r="D44" s="89"/>
      <c r="E44" s="90"/>
    </row>
    <row r="45" spans="1:6">
      <c r="A45" s="104" t="s">
        <v>70</v>
      </c>
      <c r="D45" s="89"/>
      <c r="E45" s="90"/>
    </row>
    <row r="60" spans="1:1" ht="15.75">
      <c r="A60" s="105"/>
    </row>
  </sheetData>
  <sheetProtection password="CC09" sheet="1" objects="1" scenarios="1"/>
  <mergeCells count="1">
    <mergeCell ref="D1:G1"/>
  </mergeCells>
  <dataValidations count="2">
    <dataValidation type="list" allowBlank="1" showInputMessage="1" showErrorMessage="1" sqref="B38">
      <formula1>$B$41:$B$42</formula1>
    </dataValidation>
    <dataValidation operator="equal" allowBlank="1" showInputMessage="1" showErrorMessage="1" sqref="B10:B11 B7"/>
  </dataValidations>
  <printOptions horizontalCentered="1"/>
  <pageMargins left="0.19685039370078741" right="0.19685039370078741" top="0.19685039370078741" bottom="0.19685039370078741" header="0" footer="0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/>
  <cols>
    <col min="1" max="1" width="6.42578125" bestFit="1" customWidth="1"/>
    <col min="2" max="2" width="11.7109375" bestFit="1" customWidth="1"/>
    <col min="3" max="3" width="12.7109375" bestFit="1" customWidth="1"/>
    <col min="4" max="4" width="9.7109375" bestFit="1" customWidth="1"/>
    <col min="5" max="5" width="12.42578125" bestFit="1" customWidth="1"/>
    <col min="6" max="7" width="12.42578125" customWidth="1"/>
    <col min="8" max="8" width="9.28515625" style="81" bestFit="1" customWidth="1"/>
    <col min="9" max="9" width="9.42578125" customWidth="1"/>
    <col min="10" max="10" width="12.5703125" style="48" bestFit="1" customWidth="1"/>
    <col min="11" max="11" width="13.42578125" style="48" customWidth="1"/>
    <col min="12" max="12" width="12" customWidth="1"/>
    <col min="13" max="13" width="13.28515625" style="48" bestFit="1" customWidth="1"/>
    <col min="14" max="14" width="14.28515625" style="48" customWidth="1"/>
    <col min="15" max="15" width="11" style="48" bestFit="1" customWidth="1"/>
    <col min="16" max="16" width="10.42578125" style="48" bestFit="1" customWidth="1"/>
    <col min="17" max="17" width="11.7109375" bestFit="1" customWidth="1"/>
    <col min="18" max="18" width="13.5703125" style="48" customWidth="1"/>
  </cols>
  <sheetData>
    <row r="1" spans="1:18">
      <c r="A1" s="9"/>
      <c r="B1" s="186" t="s">
        <v>39</v>
      </c>
      <c r="C1" s="187"/>
      <c r="D1" s="187"/>
      <c r="E1" s="187"/>
      <c r="F1" s="187"/>
      <c r="G1" s="187"/>
      <c r="H1" s="188"/>
      <c r="I1" s="186" t="s">
        <v>20</v>
      </c>
      <c r="J1" s="187"/>
      <c r="K1" s="188"/>
      <c r="L1" s="186" t="s">
        <v>86</v>
      </c>
      <c r="M1" s="187"/>
      <c r="N1" s="188"/>
      <c r="O1" s="186" t="s">
        <v>44</v>
      </c>
      <c r="P1" s="187"/>
      <c r="Q1" s="187"/>
      <c r="R1" s="188"/>
    </row>
    <row r="2" spans="1:18" ht="75.75" thickBot="1">
      <c r="A2" s="21" t="s">
        <v>37</v>
      </c>
      <c r="B2" s="22" t="s">
        <v>59</v>
      </c>
      <c r="C2" s="5" t="s">
        <v>40</v>
      </c>
      <c r="D2" s="5" t="s">
        <v>38</v>
      </c>
      <c r="E2" s="23" t="s">
        <v>61</v>
      </c>
      <c r="F2" s="45" t="s">
        <v>63</v>
      </c>
      <c r="G2" s="23" t="s">
        <v>62</v>
      </c>
      <c r="H2" s="75" t="s">
        <v>41</v>
      </c>
      <c r="I2" s="24" t="s">
        <v>64</v>
      </c>
      <c r="J2" s="72" t="s">
        <v>42</v>
      </c>
      <c r="K2" s="58" t="s">
        <v>21</v>
      </c>
      <c r="L2" s="24" t="s">
        <v>64</v>
      </c>
      <c r="M2" s="72" t="s">
        <v>42</v>
      </c>
      <c r="N2" s="58" t="s">
        <v>21</v>
      </c>
      <c r="O2" s="67" t="s">
        <v>43</v>
      </c>
      <c r="P2" s="63" t="s">
        <v>29</v>
      </c>
      <c r="Q2" s="5" t="s">
        <v>60</v>
      </c>
      <c r="R2" s="58" t="s">
        <v>65</v>
      </c>
    </row>
    <row r="3" spans="1:18">
      <c r="A3">
        <v>1</v>
      </c>
      <c r="B3" s="3">
        <f t="shared" ref="B3:B29" si="0">AantalLampen</f>
        <v>200</v>
      </c>
      <c r="C3" s="2">
        <f t="shared" ref="C3:C29" si="1">branduren_dag</f>
        <v>24</v>
      </c>
      <c r="D3" s="2">
        <f t="shared" ref="D3:D29" si="2">branddagen_jaar</f>
        <v>365</v>
      </c>
      <c r="E3" s="17">
        <f t="shared" ref="E3:E29" si="3">IF(A3=0,0,AantalLampen*branduren_dag*branddagen_jaar)</f>
        <v>1752000</v>
      </c>
      <c r="F3" s="17">
        <f t="shared" ref="F3:F29" si="4">AantalLampenPPL</f>
        <v>100</v>
      </c>
      <c r="G3" s="17">
        <f t="shared" ref="G3:G29" si="5">IF(A3=0,0,AantalLampenPPL*branduren_dag*branddagen_jaar)</f>
        <v>876000</v>
      </c>
      <c r="H3" s="76">
        <f>KWHprijs</f>
        <v>1</v>
      </c>
      <c r="I3" s="3">
        <f t="shared" ref="I3:I29" si="6">Watt_TL</f>
        <v>60</v>
      </c>
      <c r="J3" s="49">
        <f t="shared" ref="J3:J29" si="7">branduren_dag*branddagen_jaar*Watt_TL*H3/1000</f>
        <v>525.6</v>
      </c>
      <c r="K3" s="59">
        <f t="shared" ref="K3:K29" si="8">IF(A3=0,0,J3*AantalLampen)</f>
        <v>105120</v>
      </c>
      <c r="L3" s="6">
        <f t="shared" ref="L3:L29" si="9">Watt_PPL</f>
        <v>60</v>
      </c>
      <c r="M3" s="49">
        <f t="shared" ref="M3:M29" si="10">branduren_dag*branddagen_jaar*Watt_PPL/1000*H3</f>
        <v>525.6</v>
      </c>
      <c r="N3" s="59">
        <f t="shared" ref="N3:N29" si="11">IF(A3=0,0,M3*AantalLampenPPL)</f>
        <v>52560</v>
      </c>
      <c r="O3" s="68">
        <f>J3-M3</f>
        <v>0</v>
      </c>
      <c r="P3" s="64">
        <f>IF(A3=0,0,K3-N3)</f>
        <v>52560</v>
      </c>
      <c r="Q3" s="8">
        <f>IF(A3=0,0,P3/K3)</f>
        <v>0.5</v>
      </c>
      <c r="R3" s="59">
        <f>P3</f>
        <v>52560</v>
      </c>
    </row>
    <row r="4" spans="1:18">
      <c r="A4">
        <f t="shared" ref="A4:A29" si="12">IF(A3&lt;&gt;0,IF(A3+1&gt;projectduur,0,A3+1),0)</f>
        <v>2</v>
      </c>
      <c r="B4" s="3">
        <f t="shared" si="0"/>
        <v>200</v>
      </c>
      <c r="C4" s="2">
        <f t="shared" si="1"/>
        <v>24</v>
      </c>
      <c r="D4" s="2">
        <f t="shared" si="2"/>
        <v>365</v>
      </c>
      <c r="E4" s="17">
        <f t="shared" si="3"/>
        <v>1752000</v>
      </c>
      <c r="F4" s="17">
        <f t="shared" si="4"/>
        <v>100</v>
      </c>
      <c r="G4" s="17">
        <f t="shared" si="5"/>
        <v>876000</v>
      </c>
      <c r="H4" s="77">
        <f t="shared" ref="H4:H29" si="13">H3*(1+Energie_inflatie)</f>
        <v>1.0620000000000001</v>
      </c>
      <c r="I4" s="3">
        <f t="shared" si="6"/>
        <v>60</v>
      </c>
      <c r="J4" s="49">
        <f t="shared" si="7"/>
        <v>558.18720000000008</v>
      </c>
      <c r="K4" s="59">
        <f t="shared" si="8"/>
        <v>111637.44000000002</v>
      </c>
      <c r="L4" s="6">
        <f t="shared" si="9"/>
        <v>60</v>
      </c>
      <c r="M4" s="49">
        <f t="shared" si="10"/>
        <v>558.18720000000008</v>
      </c>
      <c r="N4" s="59">
        <f t="shared" si="11"/>
        <v>55818.720000000008</v>
      </c>
      <c r="O4" s="68">
        <f t="shared" ref="O4:O29" si="14">J4-M4</f>
        <v>0</v>
      </c>
      <c r="P4" s="64">
        <f t="shared" ref="P4:P29" si="15">IF(A4=0,0,K4-N4)</f>
        <v>55818.720000000008</v>
      </c>
      <c r="Q4" s="8">
        <f t="shared" ref="Q4:Q29" si="16">IF(A4=0,0,P4/K4)</f>
        <v>0.5</v>
      </c>
      <c r="R4" s="59">
        <f>P4+R3</f>
        <v>108378.72</v>
      </c>
    </row>
    <row r="5" spans="1:18">
      <c r="A5">
        <f t="shared" si="12"/>
        <v>3</v>
      </c>
      <c r="B5" s="3">
        <f t="shared" si="0"/>
        <v>200</v>
      </c>
      <c r="C5" s="2">
        <f t="shared" si="1"/>
        <v>24</v>
      </c>
      <c r="D5" s="2">
        <f t="shared" si="2"/>
        <v>365</v>
      </c>
      <c r="E5" s="17">
        <f t="shared" si="3"/>
        <v>1752000</v>
      </c>
      <c r="F5" s="17">
        <f t="shared" si="4"/>
        <v>100</v>
      </c>
      <c r="G5" s="17">
        <f t="shared" si="5"/>
        <v>876000</v>
      </c>
      <c r="H5" s="77">
        <f t="shared" si="13"/>
        <v>1.1278440000000001</v>
      </c>
      <c r="I5" s="3">
        <f t="shared" si="6"/>
        <v>60</v>
      </c>
      <c r="J5" s="49">
        <f t="shared" si="7"/>
        <v>592.79480639999997</v>
      </c>
      <c r="K5" s="59">
        <f t="shared" si="8"/>
        <v>118558.96127999999</v>
      </c>
      <c r="L5" s="6">
        <f t="shared" si="9"/>
        <v>60</v>
      </c>
      <c r="M5" s="49">
        <f t="shared" si="10"/>
        <v>592.79480640000008</v>
      </c>
      <c r="N5" s="59">
        <f t="shared" si="11"/>
        <v>59279.480640000009</v>
      </c>
      <c r="O5" s="68">
        <f t="shared" si="14"/>
        <v>0</v>
      </c>
      <c r="P5" s="64">
        <f t="shared" si="15"/>
        <v>59279.48063999998</v>
      </c>
      <c r="Q5" s="8">
        <f t="shared" si="16"/>
        <v>0.49999999999999989</v>
      </c>
      <c r="R5" s="59">
        <f t="shared" ref="R5:R29" si="17">P5+R4</f>
        <v>167658.20064</v>
      </c>
    </row>
    <row r="6" spans="1:18">
      <c r="A6">
        <f t="shared" si="12"/>
        <v>4</v>
      </c>
      <c r="B6" s="3">
        <f t="shared" si="0"/>
        <v>200</v>
      </c>
      <c r="C6" s="2">
        <f t="shared" si="1"/>
        <v>24</v>
      </c>
      <c r="D6" s="2">
        <f t="shared" si="2"/>
        <v>365</v>
      </c>
      <c r="E6" s="17">
        <f t="shared" si="3"/>
        <v>1752000</v>
      </c>
      <c r="F6" s="17">
        <f t="shared" si="4"/>
        <v>100</v>
      </c>
      <c r="G6" s="17">
        <f t="shared" si="5"/>
        <v>876000</v>
      </c>
      <c r="H6" s="77">
        <f t="shared" si="13"/>
        <v>1.1977703280000001</v>
      </c>
      <c r="I6" s="3">
        <f t="shared" si="6"/>
        <v>60</v>
      </c>
      <c r="J6" s="49">
        <f t="shared" si="7"/>
        <v>629.54808439680005</v>
      </c>
      <c r="K6" s="59">
        <f t="shared" si="8"/>
        <v>125909.61687936001</v>
      </c>
      <c r="L6" s="6">
        <f t="shared" si="9"/>
        <v>60</v>
      </c>
      <c r="M6" s="49">
        <f t="shared" si="10"/>
        <v>629.54808439680005</v>
      </c>
      <c r="N6" s="59">
        <f t="shared" si="11"/>
        <v>62954.808439680004</v>
      </c>
      <c r="O6" s="68">
        <f t="shared" si="14"/>
        <v>0</v>
      </c>
      <c r="P6" s="64">
        <f t="shared" si="15"/>
        <v>62954.808439680004</v>
      </c>
      <c r="Q6" s="8">
        <f t="shared" si="16"/>
        <v>0.5</v>
      </c>
      <c r="R6" s="59">
        <f t="shared" si="17"/>
        <v>230613.00907967999</v>
      </c>
    </row>
    <row r="7" spans="1:18">
      <c r="A7">
        <f t="shared" si="12"/>
        <v>5</v>
      </c>
      <c r="B7" s="3">
        <f t="shared" si="0"/>
        <v>200</v>
      </c>
      <c r="C7" s="2">
        <f t="shared" si="1"/>
        <v>24</v>
      </c>
      <c r="D7" s="2">
        <f t="shared" si="2"/>
        <v>365</v>
      </c>
      <c r="E7" s="17">
        <f t="shared" si="3"/>
        <v>1752000</v>
      </c>
      <c r="F7" s="17">
        <f t="shared" si="4"/>
        <v>100</v>
      </c>
      <c r="G7" s="17">
        <f t="shared" si="5"/>
        <v>876000</v>
      </c>
      <c r="H7" s="77">
        <f t="shared" si="13"/>
        <v>1.2720320883360001</v>
      </c>
      <c r="I7" s="3">
        <f t="shared" si="6"/>
        <v>60</v>
      </c>
      <c r="J7" s="49">
        <f t="shared" si="7"/>
        <v>668.5800656294017</v>
      </c>
      <c r="K7" s="59">
        <f t="shared" si="8"/>
        <v>133716.01312588033</v>
      </c>
      <c r="L7" s="6">
        <f t="shared" si="9"/>
        <v>60</v>
      </c>
      <c r="M7" s="49">
        <f t="shared" si="10"/>
        <v>668.5800656294017</v>
      </c>
      <c r="N7" s="59">
        <f t="shared" si="11"/>
        <v>66858.006562940165</v>
      </c>
      <c r="O7" s="68">
        <f t="shared" si="14"/>
        <v>0</v>
      </c>
      <c r="P7" s="64">
        <f t="shared" si="15"/>
        <v>66858.006562940165</v>
      </c>
      <c r="Q7" s="8">
        <f t="shared" si="16"/>
        <v>0.5</v>
      </c>
      <c r="R7" s="59">
        <f t="shared" si="17"/>
        <v>297471.01564262016</v>
      </c>
    </row>
    <row r="8" spans="1:18">
      <c r="A8">
        <f t="shared" si="12"/>
        <v>6</v>
      </c>
      <c r="B8" s="3">
        <f t="shared" si="0"/>
        <v>200</v>
      </c>
      <c r="C8" s="2">
        <f t="shared" si="1"/>
        <v>24</v>
      </c>
      <c r="D8" s="2">
        <f t="shared" si="2"/>
        <v>365</v>
      </c>
      <c r="E8" s="17">
        <f t="shared" si="3"/>
        <v>1752000</v>
      </c>
      <c r="F8" s="17">
        <f t="shared" si="4"/>
        <v>100</v>
      </c>
      <c r="G8" s="17">
        <f t="shared" si="5"/>
        <v>876000</v>
      </c>
      <c r="H8" s="77">
        <f t="shared" si="13"/>
        <v>1.3508980778128321</v>
      </c>
      <c r="I8" s="3">
        <f t="shared" si="6"/>
        <v>60</v>
      </c>
      <c r="J8" s="49">
        <f t="shared" si="7"/>
        <v>710.03202969842448</v>
      </c>
      <c r="K8" s="59">
        <f t="shared" si="8"/>
        <v>142006.40593968489</v>
      </c>
      <c r="L8" s="6">
        <f t="shared" si="9"/>
        <v>60</v>
      </c>
      <c r="M8" s="49">
        <f t="shared" si="10"/>
        <v>710.03202969842459</v>
      </c>
      <c r="N8" s="59">
        <f t="shared" si="11"/>
        <v>71003.202969842459</v>
      </c>
      <c r="O8" s="68">
        <f t="shared" si="14"/>
        <v>0</v>
      </c>
      <c r="P8" s="64">
        <f t="shared" si="15"/>
        <v>71003.20296984243</v>
      </c>
      <c r="Q8" s="8">
        <f t="shared" si="16"/>
        <v>0.49999999999999989</v>
      </c>
      <c r="R8" s="59">
        <f t="shared" si="17"/>
        <v>368474.21861246257</v>
      </c>
    </row>
    <row r="9" spans="1:18">
      <c r="A9">
        <f t="shared" si="12"/>
        <v>7</v>
      </c>
      <c r="B9" s="3">
        <f t="shared" si="0"/>
        <v>200</v>
      </c>
      <c r="C9" s="2">
        <f t="shared" si="1"/>
        <v>24</v>
      </c>
      <c r="D9" s="2">
        <f t="shared" si="2"/>
        <v>365</v>
      </c>
      <c r="E9" s="17">
        <f t="shared" si="3"/>
        <v>1752000</v>
      </c>
      <c r="F9" s="17">
        <f t="shared" si="4"/>
        <v>100</v>
      </c>
      <c r="G9" s="17">
        <f t="shared" si="5"/>
        <v>876000</v>
      </c>
      <c r="H9" s="77">
        <f t="shared" si="13"/>
        <v>1.4346537586372279</v>
      </c>
      <c r="I9" s="3">
        <f t="shared" si="6"/>
        <v>60</v>
      </c>
      <c r="J9" s="49">
        <f t="shared" si="7"/>
        <v>754.05401553972695</v>
      </c>
      <c r="K9" s="59">
        <f t="shared" si="8"/>
        <v>150810.80310794539</v>
      </c>
      <c r="L9" s="6">
        <f t="shared" si="9"/>
        <v>60</v>
      </c>
      <c r="M9" s="49">
        <f t="shared" si="10"/>
        <v>754.05401553972706</v>
      </c>
      <c r="N9" s="59">
        <f t="shared" si="11"/>
        <v>75405.401553972712</v>
      </c>
      <c r="O9" s="68">
        <f t="shared" si="14"/>
        <v>0</v>
      </c>
      <c r="P9" s="64">
        <f t="shared" si="15"/>
        <v>75405.401553972682</v>
      </c>
      <c r="Q9" s="8">
        <f t="shared" si="16"/>
        <v>0.49999999999999989</v>
      </c>
      <c r="R9" s="59">
        <f t="shared" si="17"/>
        <v>443879.62016643526</v>
      </c>
    </row>
    <row r="10" spans="1:18">
      <c r="A10">
        <f t="shared" si="12"/>
        <v>8</v>
      </c>
      <c r="B10" s="3">
        <f t="shared" si="0"/>
        <v>200</v>
      </c>
      <c r="C10" s="2">
        <f t="shared" si="1"/>
        <v>24</v>
      </c>
      <c r="D10" s="2">
        <f t="shared" si="2"/>
        <v>365</v>
      </c>
      <c r="E10" s="17">
        <f t="shared" si="3"/>
        <v>1752000</v>
      </c>
      <c r="F10" s="17">
        <f t="shared" si="4"/>
        <v>100</v>
      </c>
      <c r="G10" s="17">
        <f t="shared" si="5"/>
        <v>876000</v>
      </c>
      <c r="H10" s="77">
        <f t="shared" si="13"/>
        <v>1.5236022916727361</v>
      </c>
      <c r="I10" s="3">
        <f t="shared" si="6"/>
        <v>60</v>
      </c>
      <c r="J10" s="49">
        <f t="shared" si="7"/>
        <v>800.80536450319005</v>
      </c>
      <c r="K10" s="59">
        <f t="shared" si="8"/>
        <v>160161.07290063801</v>
      </c>
      <c r="L10" s="6">
        <f t="shared" si="9"/>
        <v>60</v>
      </c>
      <c r="M10" s="49">
        <f t="shared" si="10"/>
        <v>800.80536450319016</v>
      </c>
      <c r="N10" s="59">
        <f t="shared" si="11"/>
        <v>80080.536450319021</v>
      </c>
      <c r="O10" s="68">
        <f t="shared" si="14"/>
        <v>0</v>
      </c>
      <c r="P10" s="64">
        <f t="shared" si="15"/>
        <v>80080.536450318992</v>
      </c>
      <c r="Q10" s="8">
        <f t="shared" si="16"/>
        <v>0.49999999999999989</v>
      </c>
      <c r="R10" s="59">
        <f t="shared" si="17"/>
        <v>523960.15661675425</v>
      </c>
    </row>
    <row r="11" spans="1:18">
      <c r="A11">
        <f t="shared" si="12"/>
        <v>9</v>
      </c>
      <c r="B11" s="3">
        <f t="shared" si="0"/>
        <v>200</v>
      </c>
      <c r="C11" s="2">
        <f t="shared" si="1"/>
        <v>24</v>
      </c>
      <c r="D11" s="2">
        <f t="shared" si="2"/>
        <v>365</v>
      </c>
      <c r="E11" s="17">
        <f t="shared" si="3"/>
        <v>1752000</v>
      </c>
      <c r="F11" s="17">
        <f t="shared" si="4"/>
        <v>100</v>
      </c>
      <c r="G11" s="17">
        <f t="shared" si="5"/>
        <v>876000</v>
      </c>
      <c r="H11" s="77">
        <f t="shared" si="13"/>
        <v>1.6180656337564459</v>
      </c>
      <c r="I11" s="3">
        <f t="shared" si="6"/>
        <v>60</v>
      </c>
      <c r="J11" s="49">
        <f t="shared" si="7"/>
        <v>850.45529710238804</v>
      </c>
      <c r="K11" s="59">
        <f t="shared" si="8"/>
        <v>170091.0594204776</v>
      </c>
      <c r="L11" s="6">
        <f t="shared" si="9"/>
        <v>60</v>
      </c>
      <c r="M11" s="49">
        <f t="shared" si="10"/>
        <v>850.45529710238793</v>
      </c>
      <c r="N11" s="59">
        <f t="shared" si="11"/>
        <v>85045.529710238799</v>
      </c>
      <c r="O11" s="68">
        <f t="shared" si="14"/>
        <v>0</v>
      </c>
      <c r="P11" s="64">
        <f t="shared" si="15"/>
        <v>85045.529710238799</v>
      </c>
      <c r="Q11" s="8">
        <f t="shared" si="16"/>
        <v>0.5</v>
      </c>
      <c r="R11" s="59">
        <f t="shared" si="17"/>
        <v>609005.68632699305</v>
      </c>
    </row>
    <row r="12" spans="1:18">
      <c r="A12">
        <f t="shared" si="12"/>
        <v>0</v>
      </c>
      <c r="B12" s="3">
        <f t="shared" si="0"/>
        <v>200</v>
      </c>
      <c r="C12" s="2">
        <f t="shared" si="1"/>
        <v>24</v>
      </c>
      <c r="D12" s="2">
        <f t="shared" si="2"/>
        <v>365</v>
      </c>
      <c r="E12" s="17">
        <f t="shared" si="3"/>
        <v>0</v>
      </c>
      <c r="F12" s="17">
        <f t="shared" si="4"/>
        <v>100</v>
      </c>
      <c r="G12" s="17">
        <f t="shared" si="5"/>
        <v>0</v>
      </c>
      <c r="H12" s="77">
        <f t="shared" si="13"/>
        <v>1.7183857030493457</v>
      </c>
      <c r="I12" s="3">
        <f t="shared" si="6"/>
        <v>60</v>
      </c>
      <c r="J12" s="49">
        <f t="shared" si="7"/>
        <v>903.18352552273609</v>
      </c>
      <c r="K12" s="59">
        <f t="shared" si="8"/>
        <v>0</v>
      </c>
      <c r="L12" s="6">
        <f t="shared" si="9"/>
        <v>60</v>
      </c>
      <c r="M12" s="49">
        <f t="shared" si="10"/>
        <v>903.18352552273609</v>
      </c>
      <c r="N12" s="59">
        <f t="shared" si="11"/>
        <v>0</v>
      </c>
      <c r="O12" s="68">
        <f t="shared" si="14"/>
        <v>0</v>
      </c>
      <c r="P12" s="64">
        <f t="shared" si="15"/>
        <v>0</v>
      </c>
      <c r="Q12" s="8">
        <f t="shared" si="16"/>
        <v>0</v>
      </c>
      <c r="R12" s="59">
        <f t="shared" si="17"/>
        <v>609005.68632699305</v>
      </c>
    </row>
    <row r="13" spans="1:18">
      <c r="A13">
        <f t="shared" si="12"/>
        <v>0</v>
      </c>
      <c r="B13" s="3">
        <f t="shared" si="0"/>
        <v>200</v>
      </c>
      <c r="C13" s="2">
        <f t="shared" si="1"/>
        <v>24</v>
      </c>
      <c r="D13" s="2">
        <f t="shared" si="2"/>
        <v>365</v>
      </c>
      <c r="E13" s="17">
        <f t="shared" si="3"/>
        <v>0</v>
      </c>
      <c r="F13" s="17">
        <f t="shared" si="4"/>
        <v>100</v>
      </c>
      <c r="G13" s="17">
        <f t="shared" si="5"/>
        <v>0</v>
      </c>
      <c r="H13" s="77">
        <f t="shared" si="13"/>
        <v>1.8249256166384051</v>
      </c>
      <c r="I13" s="3">
        <f t="shared" si="6"/>
        <v>60</v>
      </c>
      <c r="J13" s="49">
        <f t="shared" si="7"/>
        <v>959.18090410514571</v>
      </c>
      <c r="K13" s="59">
        <f t="shared" si="8"/>
        <v>0</v>
      </c>
      <c r="L13" s="6">
        <f t="shared" si="9"/>
        <v>60</v>
      </c>
      <c r="M13" s="49">
        <f t="shared" si="10"/>
        <v>959.18090410514583</v>
      </c>
      <c r="N13" s="59">
        <f t="shared" si="11"/>
        <v>0</v>
      </c>
      <c r="O13" s="68">
        <f t="shared" si="14"/>
        <v>0</v>
      </c>
      <c r="P13" s="64">
        <f t="shared" si="15"/>
        <v>0</v>
      </c>
      <c r="Q13" s="8">
        <f t="shared" si="16"/>
        <v>0</v>
      </c>
      <c r="R13" s="59">
        <f t="shared" si="17"/>
        <v>609005.68632699305</v>
      </c>
    </row>
    <row r="14" spans="1:18">
      <c r="A14">
        <f t="shared" si="12"/>
        <v>0</v>
      </c>
      <c r="B14" s="3">
        <f t="shared" si="0"/>
        <v>200</v>
      </c>
      <c r="C14" s="2">
        <f t="shared" si="1"/>
        <v>24</v>
      </c>
      <c r="D14" s="2">
        <f t="shared" si="2"/>
        <v>365</v>
      </c>
      <c r="E14" s="17">
        <f t="shared" si="3"/>
        <v>0</v>
      </c>
      <c r="F14" s="17">
        <f t="shared" si="4"/>
        <v>100</v>
      </c>
      <c r="G14" s="17">
        <f t="shared" si="5"/>
        <v>0</v>
      </c>
      <c r="H14" s="77">
        <f t="shared" si="13"/>
        <v>1.9380710048699863</v>
      </c>
      <c r="I14" s="3">
        <f t="shared" si="6"/>
        <v>60</v>
      </c>
      <c r="J14" s="49">
        <f t="shared" si="7"/>
        <v>1018.6501201596648</v>
      </c>
      <c r="K14" s="59">
        <f t="shared" si="8"/>
        <v>0</v>
      </c>
      <c r="L14" s="6">
        <f t="shared" si="9"/>
        <v>60</v>
      </c>
      <c r="M14" s="49">
        <f t="shared" si="10"/>
        <v>1018.6501201596649</v>
      </c>
      <c r="N14" s="59">
        <f t="shared" si="11"/>
        <v>0</v>
      </c>
      <c r="O14" s="68">
        <f t="shared" si="14"/>
        <v>0</v>
      </c>
      <c r="P14" s="64">
        <f t="shared" si="15"/>
        <v>0</v>
      </c>
      <c r="Q14" s="8">
        <f t="shared" si="16"/>
        <v>0</v>
      </c>
      <c r="R14" s="59">
        <f t="shared" si="17"/>
        <v>609005.68632699305</v>
      </c>
    </row>
    <row r="15" spans="1:18">
      <c r="A15">
        <f t="shared" si="12"/>
        <v>0</v>
      </c>
      <c r="B15" s="3">
        <f t="shared" si="0"/>
        <v>200</v>
      </c>
      <c r="C15" s="2">
        <f t="shared" si="1"/>
        <v>24</v>
      </c>
      <c r="D15" s="2">
        <f t="shared" si="2"/>
        <v>365</v>
      </c>
      <c r="E15" s="17">
        <f t="shared" si="3"/>
        <v>0</v>
      </c>
      <c r="F15" s="17">
        <f t="shared" si="4"/>
        <v>100</v>
      </c>
      <c r="G15" s="17">
        <f t="shared" si="5"/>
        <v>0</v>
      </c>
      <c r="H15" s="77">
        <f t="shared" si="13"/>
        <v>2.0582314071719257</v>
      </c>
      <c r="I15" s="3">
        <f t="shared" si="6"/>
        <v>60</v>
      </c>
      <c r="J15" s="49">
        <f t="shared" si="7"/>
        <v>1081.806427609564</v>
      </c>
      <c r="K15" s="59">
        <f t="shared" si="8"/>
        <v>0</v>
      </c>
      <c r="L15" s="6">
        <f t="shared" si="9"/>
        <v>60</v>
      </c>
      <c r="M15" s="49">
        <f t="shared" si="10"/>
        <v>1081.8064276095643</v>
      </c>
      <c r="N15" s="59">
        <f t="shared" si="11"/>
        <v>0</v>
      </c>
      <c r="O15" s="68">
        <f t="shared" si="14"/>
        <v>0</v>
      </c>
      <c r="P15" s="64">
        <f t="shared" si="15"/>
        <v>0</v>
      </c>
      <c r="Q15" s="8">
        <f t="shared" si="16"/>
        <v>0</v>
      </c>
      <c r="R15" s="59">
        <f t="shared" si="17"/>
        <v>609005.68632699305</v>
      </c>
    </row>
    <row r="16" spans="1:18">
      <c r="A16">
        <f t="shared" si="12"/>
        <v>0</v>
      </c>
      <c r="B16" s="3">
        <f t="shared" si="0"/>
        <v>200</v>
      </c>
      <c r="C16" s="2">
        <f t="shared" si="1"/>
        <v>24</v>
      </c>
      <c r="D16" s="2">
        <f t="shared" si="2"/>
        <v>365</v>
      </c>
      <c r="E16" s="17">
        <f t="shared" si="3"/>
        <v>0</v>
      </c>
      <c r="F16" s="17">
        <f t="shared" si="4"/>
        <v>100</v>
      </c>
      <c r="G16" s="17">
        <f t="shared" si="5"/>
        <v>0</v>
      </c>
      <c r="H16" s="77">
        <f t="shared" si="13"/>
        <v>2.1858417544165851</v>
      </c>
      <c r="I16" s="3">
        <f t="shared" si="6"/>
        <v>60</v>
      </c>
      <c r="J16" s="49">
        <f t="shared" si="7"/>
        <v>1148.8784261213571</v>
      </c>
      <c r="K16" s="59">
        <f t="shared" si="8"/>
        <v>0</v>
      </c>
      <c r="L16" s="6">
        <f t="shared" si="9"/>
        <v>60</v>
      </c>
      <c r="M16" s="49">
        <f t="shared" si="10"/>
        <v>1148.8784261213573</v>
      </c>
      <c r="N16" s="59">
        <f t="shared" si="11"/>
        <v>0</v>
      </c>
      <c r="O16" s="68">
        <f t="shared" si="14"/>
        <v>0</v>
      </c>
      <c r="P16" s="64">
        <f t="shared" si="15"/>
        <v>0</v>
      </c>
      <c r="Q16" s="8">
        <f t="shared" si="16"/>
        <v>0</v>
      </c>
      <c r="R16" s="59">
        <f t="shared" si="17"/>
        <v>609005.68632699305</v>
      </c>
    </row>
    <row r="17" spans="1:18">
      <c r="A17">
        <f t="shared" si="12"/>
        <v>0</v>
      </c>
      <c r="B17" s="3">
        <f t="shared" si="0"/>
        <v>200</v>
      </c>
      <c r="C17" s="2">
        <f t="shared" si="1"/>
        <v>24</v>
      </c>
      <c r="D17" s="2">
        <f t="shared" si="2"/>
        <v>365</v>
      </c>
      <c r="E17" s="17">
        <f t="shared" si="3"/>
        <v>0</v>
      </c>
      <c r="F17" s="17">
        <f t="shared" si="4"/>
        <v>100</v>
      </c>
      <c r="G17" s="17">
        <f t="shared" si="5"/>
        <v>0</v>
      </c>
      <c r="H17" s="77">
        <f t="shared" si="13"/>
        <v>2.3213639431904136</v>
      </c>
      <c r="I17" s="3">
        <f t="shared" si="6"/>
        <v>60</v>
      </c>
      <c r="J17" s="49">
        <f t="shared" si="7"/>
        <v>1220.1088885408815</v>
      </c>
      <c r="K17" s="59">
        <f t="shared" si="8"/>
        <v>0</v>
      </c>
      <c r="L17" s="6">
        <f t="shared" si="9"/>
        <v>60</v>
      </c>
      <c r="M17" s="49">
        <f t="shared" si="10"/>
        <v>1220.1088885408815</v>
      </c>
      <c r="N17" s="59">
        <f t="shared" si="11"/>
        <v>0</v>
      </c>
      <c r="O17" s="68">
        <f t="shared" si="14"/>
        <v>0</v>
      </c>
      <c r="P17" s="64">
        <f t="shared" si="15"/>
        <v>0</v>
      </c>
      <c r="Q17" s="8">
        <f t="shared" si="16"/>
        <v>0</v>
      </c>
      <c r="R17" s="59">
        <f t="shared" si="17"/>
        <v>609005.68632699305</v>
      </c>
    </row>
    <row r="18" spans="1:18">
      <c r="A18">
        <f t="shared" si="12"/>
        <v>0</v>
      </c>
      <c r="B18" s="3">
        <f t="shared" si="0"/>
        <v>200</v>
      </c>
      <c r="C18" s="2">
        <f t="shared" si="1"/>
        <v>24</v>
      </c>
      <c r="D18" s="2">
        <f t="shared" si="2"/>
        <v>365</v>
      </c>
      <c r="E18" s="17">
        <f t="shared" si="3"/>
        <v>0</v>
      </c>
      <c r="F18" s="17">
        <f t="shared" si="4"/>
        <v>100</v>
      </c>
      <c r="G18" s="17">
        <f t="shared" si="5"/>
        <v>0</v>
      </c>
      <c r="H18" s="77">
        <f t="shared" si="13"/>
        <v>2.4652885076682196</v>
      </c>
      <c r="I18" s="3">
        <f t="shared" si="6"/>
        <v>60</v>
      </c>
      <c r="J18" s="49">
        <f t="shared" si="7"/>
        <v>1295.7556396304162</v>
      </c>
      <c r="K18" s="59">
        <f t="shared" si="8"/>
        <v>0</v>
      </c>
      <c r="L18" s="6">
        <f t="shared" si="9"/>
        <v>60</v>
      </c>
      <c r="M18" s="49">
        <f t="shared" si="10"/>
        <v>1295.7556396304162</v>
      </c>
      <c r="N18" s="59">
        <f t="shared" si="11"/>
        <v>0</v>
      </c>
      <c r="O18" s="68">
        <f t="shared" si="14"/>
        <v>0</v>
      </c>
      <c r="P18" s="64">
        <f t="shared" si="15"/>
        <v>0</v>
      </c>
      <c r="Q18" s="8">
        <f t="shared" si="16"/>
        <v>0</v>
      </c>
      <c r="R18" s="59">
        <f t="shared" si="17"/>
        <v>609005.68632699305</v>
      </c>
    </row>
    <row r="19" spans="1:18">
      <c r="A19">
        <f t="shared" si="12"/>
        <v>0</v>
      </c>
      <c r="B19" s="3">
        <f t="shared" si="0"/>
        <v>200</v>
      </c>
      <c r="C19" s="2">
        <f t="shared" si="1"/>
        <v>24</v>
      </c>
      <c r="D19" s="2">
        <f t="shared" si="2"/>
        <v>365</v>
      </c>
      <c r="E19" s="17">
        <f t="shared" si="3"/>
        <v>0</v>
      </c>
      <c r="F19" s="17">
        <f t="shared" si="4"/>
        <v>100</v>
      </c>
      <c r="G19" s="17">
        <f t="shared" si="5"/>
        <v>0</v>
      </c>
      <c r="H19" s="77">
        <f t="shared" si="13"/>
        <v>2.6181363951436492</v>
      </c>
      <c r="I19" s="3">
        <f t="shared" si="6"/>
        <v>60</v>
      </c>
      <c r="J19" s="49">
        <f t="shared" si="7"/>
        <v>1376.0924892875018</v>
      </c>
      <c r="K19" s="59">
        <f t="shared" si="8"/>
        <v>0</v>
      </c>
      <c r="L19" s="6">
        <f t="shared" si="9"/>
        <v>60</v>
      </c>
      <c r="M19" s="49">
        <f t="shared" si="10"/>
        <v>1376.0924892875021</v>
      </c>
      <c r="N19" s="59">
        <f t="shared" si="11"/>
        <v>0</v>
      </c>
      <c r="O19" s="68">
        <f t="shared" si="14"/>
        <v>0</v>
      </c>
      <c r="P19" s="64">
        <f t="shared" si="15"/>
        <v>0</v>
      </c>
      <c r="Q19" s="8">
        <f t="shared" si="16"/>
        <v>0</v>
      </c>
      <c r="R19" s="59">
        <f t="shared" si="17"/>
        <v>609005.68632699305</v>
      </c>
    </row>
    <row r="20" spans="1:18">
      <c r="A20">
        <f t="shared" si="12"/>
        <v>0</v>
      </c>
      <c r="B20" s="3">
        <f t="shared" si="0"/>
        <v>200</v>
      </c>
      <c r="C20" s="2">
        <f t="shared" si="1"/>
        <v>24</v>
      </c>
      <c r="D20" s="2">
        <f t="shared" si="2"/>
        <v>365</v>
      </c>
      <c r="E20" s="17">
        <f t="shared" si="3"/>
        <v>0</v>
      </c>
      <c r="F20" s="17">
        <f t="shared" si="4"/>
        <v>100</v>
      </c>
      <c r="G20" s="17">
        <f t="shared" si="5"/>
        <v>0</v>
      </c>
      <c r="H20" s="77">
        <f t="shared" si="13"/>
        <v>2.7804608516425557</v>
      </c>
      <c r="I20" s="3">
        <f t="shared" si="6"/>
        <v>60</v>
      </c>
      <c r="J20" s="49">
        <f t="shared" si="7"/>
        <v>1461.4102236233273</v>
      </c>
      <c r="K20" s="59">
        <f t="shared" si="8"/>
        <v>0</v>
      </c>
      <c r="L20" s="6">
        <f t="shared" si="9"/>
        <v>60</v>
      </c>
      <c r="M20" s="49">
        <f t="shared" si="10"/>
        <v>1461.4102236233273</v>
      </c>
      <c r="N20" s="59">
        <f t="shared" si="11"/>
        <v>0</v>
      </c>
      <c r="O20" s="68">
        <f t="shared" si="14"/>
        <v>0</v>
      </c>
      <c r="P20" s="64">
        <f t="shared" si="15"/>
        <v>0</v>
      </c>
      <c r="Q20" s="8">
        <f t="shared" si="16"/>
        <v>0</v>
      </c>
      <c r="R20" s="59">
        <f t="shared" si="17"/>
        <v>609005.68632699305</v>
      </c>
    </row>
    <row r="21" spans="1:18">
      <c r="A21">
        <f t="shared" si="12"/>
        <v>0</v>
      </c>
      <c r="B21" s="3">
        <f t="shared" si="0"/>
        <v>200</v>
      </c>
      <c r="C21" s="2">
        <f t="shared" si="1"/>
        <v>24</v>
      </c>
      <c r="D21" s="2">
        <f t="shared" si="2"/>
        <v>365</v>
      </c>
      <c r="E21" s="17">
        <f t="shared" si="3"/>
        <v>0</v>
      </c>
      <c r="F21" s="17">
        <f t="shared" si="4"/>
        <v>100</v>
      </c>
      <c r="G21" s="17">
        <f t="shared" si="5"/>
        <v>0</v>
      </c>
      <c r="H21" s="77">
        <f t="shared" si="13"/>
        <v>2.9528494244443944</v>
      </c>
      <c r="I21" s="3">
        <f t="shared" si="6"/>
        <v>60</v>
      </c>
      <c r="J21" s="49">
        <f t="shared" si="7"/>
        <v>1552.0176574879736</v>
      </c>
      <c r="K21" s="59">
        <f t="shared" si="8"/>
        <v>0</v>
      </c>
      <c r="L21" s="6">
        <f t="shared" si="9"/>
        <v>60</v>
      </c>
      <c r="M21" s="49">
        <f t="shared" si="10"/>
        <v>1552.0176574879738</v>
      </c>
      <c r="N21" s="59">
        <f t="shared" si="11"/>
        <v>0</v>
      </c>
      <c r="O21" s="68">
        <f t="shared" si="14"/>
        <v>0</v>
      </c>
      <c r="P21" s="64">
        <f t="shared" si="15"/>
        <v>0</v>
      </c>
      <c r="Q21" s="8">
        <f t="shared" si="16"/>
        <v>0</v>
      </c>
      <c r="R21" s="59">
        <f t="shared" si="17"/>
        <v>609005.68632699305</v>
      </c>
    </row>
    <row r="22" spans="1:18">
      <c r="A22">
        <f t="shared" si="12"/>
        <v>0</v>
      </c>
      <c r="B22" s="3">
        <f t="shared" si="0"/>
        <v>200</v>
      </c>
      <c r="C22" s="2">
        <f t="shared" si="1"/>
        <v>24</v>
      </c>
      <c r="D22" s="2">
        <f t="shared" si="2"/>
        <v>365</v>
      </c>
      <c r="E22" s="17">
        <f t="shared" si="3"/>
        <v>0</v>
      </c>
      <c r="F22" s="17">
        <f t="shared" si="4"/>
        <v>100</v>
      </c>
      <c r="G22" s="17">
        <f t="shared" si="5"/>
        <v>0</v>
      </c>
      <c r="H22" s="77">
        <f t="shared" si="13"/>
        <v>3.1359260887599469</v>
      </c>
      <c r="I22" s="3">
        <f t="shared" si="6"/>
        <v>60</v>
      </c>
      <c r="J22" s="49">
        <f t="shared" si="7"/>
        <v>1648.242752252228</v>
      </c>
      <c r="K22" s="59">
        <f t="shared" si="8"/>
        <v>0</v>
      </c>
      <c r="L22" s="6">
        <f t="shared" si="9"/>
        <v>60</v>
      </c>
      <c r="M22" s="49">
        <f t="shared" si="10"/>
        <v>1648.2427522522282</v>
      </c>
      <c r="N22" s="59">
        <f t="shared" si="11"/>
        <v>0</v>
      </c>
      <c r="O22" s="68">
        <f t="shared" si="14"/>
        <v>0</v>
      </c>
      <c r="P22" s="64">
        <f t="shared" si="15"/>
        <v>0</v>
      </c>
      <c r="Q22" s="8">
        <f t="shared" si="16"/>
        <v>0</v>
      </c>
      <c r="R22" s="59">
        <f t="shared" si="17"/>
        <v>609005.68632699305</v>
      </c>
    </row>
    <row r="23" spans="1:18">
      <c r="A23">
        <f t="shared" si="12"/>
        <v>0</v>
      </c>
      <c r="B23" s="3">
        <f t="shared" si="0"/>
        <v>200</v>
      </c>
      <c r="C23" s="2">
        <f t="shared" si="1"/>
        <v>24</v>
      </c>
      <c r="D23" s="2">
        <f t="shared" si="2"/>
        <v>365</v>
      </c>
      <c r="E23" s="17">
        <f t="shared" si="3"/>
        <v>0</v>
      </c>
      <c r="F23" s="17">
        <f t="shared" si="4"/>
        <v>100</v>
      </c>
      <c r="G23" s="17">
        <f t="shared" si="5"/>
        <v>0</v>
      </c>
      <c r="H23" s="77">
        <f t="shared" si="13"/>
        <v>3.330353506263064</v>
      </c>
      <c r="I23" s="3">
        <f t="shared" si="6"/>
        <v>60</v>
      </c>
      <c r="J23" s="49">
        <f t="shared" si="7"/>
        <v>1750.4338028918664</v>
      </c>
      <c r="K23" s="59">
        <f t="shared" si="8"/>
        <v>0</v>
      </c>
      <c r="L23" s="6">
        <f t="shared" si="9"/>
        <v>60</v>
      </c>
      <c r="M23" s="49">
        <f t="shared" si="10"/>
        <v>1750.4338028918664</v>
      </c>
      <c r="N23" s="59">
        <f t="shared" si="11"/>
        <v>0</v>
      </c>
      <c r="O23" s="68">
        <f t="shared" si="14"/>
        <v>0</v>
      </c>
      <c r="P23" s="64">
        <f t="shared" si="15"/>
        <v>0</v>
      </c>
      <c r="Q23" s="8">
        <f t="shared" si="16"/>
        <v>0</v>
      </c>
      <c r="R23" s="59">
        <f t="shared" si="17"/>
        <v>609005.68632699305</v>
      </c>
    </row>
    <row r="24" spans="1:18">
      <c r="A24">
        <f t="shared" si="12"/>
        <v>0</v>
      </c>
      <c r="B24" s="3">
        <f t="shared" si="0"/>
        <v>200</v>
      </c>
      <c r="C24" s="2">
        <f t="shared" si="1"/>
        <v>24</v>
      </c>
      <c r="D24" s="2">
        <f t="shared" si="2"/>
        <v>365</v>
      </c>
      <c r="E24" s="17">
        <f t="shared" si="3"/>
        <v>0</v>
      </c>
      <c r="F24" s="17">
        <f t="shared" si="4"/>
        <v>100</v>
      </c>
      <c r="G24" s="17">
        <f t="shared" si="5"/>
        <v>0</v>
      </c>
      <c r="H24" s="77">
        <f t="shared" si="13"/>
        <v>3.5368354236513744</v>
      </c>
      <c r="I24" s="3">
        <f t="shared" si="6"/>
        <v>60</v>
      </c>
      <c r="J24" s="49">
        <f t="shared" si="7"/>
        <v>1858.9606986711624</v>
      </c>
      <c r="K24" s="59">
        <f t="shared" si="8"/>
        <v>0</v>
      </c>
      <c r="L24" s="6">
        <f t="shared" si="9"/>
        <v>60</v>
      </c>
      <c r="M24" s="49">
        <f t="shared" si="10"/>
        <v>1858.9606986711624</v>
      </c>
      <c r="N24" s="59">
        <f t="shared" si="11"/>
        <v>0</v>
      </c>
      <c r="O24" s="68">
        <f t="shared" si="14"/>
        <v>0</v>
      </c>
      <c r="P24" s="64">
        <f t="shared" si="15"/>
        <v>0</v>
      </c>
      <c r="Q24" s="8">
        <f t="shared" si="16"/>
        <v>0</v>
      </c>
      <c r="R24" s="59">
        <f t="shared" si="17"/>
        <v>609005.68632699305</v>
      </c>
    </row>
    <row r="25" spans="1:18">
      <c r="A25">
        <f t="shared" si="12"/>
        <v>0</v>
      </c>
      <c r="B25" s="3">
        <f t="shared" si="0"/>
        <v>200</v>
      </c>
      <c r="C25" s="2">
        <f t="shared" si="1"/>
        <v>24</v>
      </c>
      <c r="D25" s="2">
        <f t="shared" si="2"/>
        <v>365</v>
      </c>
      <c r="E25" s="17">
        <f t="shared" si="3"/>
        <v>0</v>
      </c>
      <c r="F25" s="17">
        <f t="shared" si="4"/>
        <v>100</v>
      </c>
      <c r="G25" s="17">
        <f t="shared" si="5"/>
        <v>0</v>
      </c>
      <c r="H25" s="77">
        <f t="shared" si="13"/>
        <v>3.75611921991776</v>
      </c>
      <c r="I25" s="3">
        <f t="shared" si="6"/>
        <v>60</v>
      </c>
      <c r="J25" s="49">
        <f t="shared" si="7"/>
        <v>1974.2162619887747</v>
      </c>
      <c r="K25" s="59">
        <f t="shared" si="8"/>
        <v>0</v>
      </c>
      <c r="L25" s="6">
        <f t="shared" si="9"/>
        <v>60</v>
      </c>
      <c r="M25" s="49">
        <f t="shared" si="10"/>
        <v>1974.2162619887747</v>
      </c>
      <c r="N25" s="59">
        <f t="shared" si="11"/>
        <v>0</v>
      </c>
      <c r="O25" s="68">
        <f t="shared" si="14"/>
        <v>0</v>
      </c>
      <c r="P25" s="64">
        <f t="shared" si="15"/>
        <v>0</v>
      </c>
      <c r="Q25" s="8">
        <f t="shared" si="16"/>
        <v>0</v>
      </c>
      <c r="R25" s="59">
        <f t="shared" si="17"/>
        <v>609005.68632699305</v>
      </c>
    </row>
    <row r="26" spans="1:18">
      <c r="A26">
        <f t="shared" si="12"/>
        <v>0</v>
      </c>
      <c r="B26" s="3">
        <f t="shared" si="0"/>
        <v>200</v>
      </c>
      <c r="C26" s="2">
        <f t="shared" si="1"/>
        <v>24</v>
      </c>
      <c r="D26" s="2">
        <f t="shared" si="2"/>
        <v>365</v>
      </c>
      <c r="E26" s="17">
        <f t="shared" si="3"/>
        <v>0</v>
      </c>
      <c r="F26" s="17">
        <f t="shared" si="4"/>
        <v>100</v>
      </c>
      <c r="G26" s="17">
        <f t="shared" si="5"/>
        <v>0</v>
      </c>
      <c r="H26" s="77">
        <f t="shared" si="13"/>
        <v>3.9889986115526614</v>
      </c>
      <c r="I26" s="3">
        <f t="shared" si="6"/>
        <v>60</v>
      </c>
      <c r="J26" s="49">
        <f t="shared" si="7"/>
        <v>2096.6176702320786</v>
      </c>
      <c r="K26" s="59">
        <f t="shared" si="8"/>
        <v>0</v>
      </c>
      <c r="L26" s="6">
        <f t="shared" si="9"/>
        <v>60</v>
      </c>
      <c r="M26" s="49">
        <f t="shared" si="10"/>
        <v>2096.617670232079</v>
      </c>
      <c r="N26" s="59">
        <f t="shared" si="11"/>
        <v>0</v>
      </c>
      <c r="O26" s="68">
        <f t="shared" si="14"/>
        <v>0</v>
      </c>
      <c r="P26" s="64">
        <f t="shared" si="15"/>
        <v>0</v>
      </c>
      <c r="Q26" s="8">
        <f t="shared" si="16"/>
        <v>0</v>
      </c>
      <c r="R26" s="59">
        <f t="shared" si="17"/>
        <v>609005.68632699305</v>
      </c>
    </row>
    <row r="27" spans="1:18">
      <c r="A27">
        <f t="shared" si="12"/>
        <v>0</v>
      </c>
      <c r="B27" s="3">
        <f t="shared" si="0"/>
        <v>200</v>
      </c>
      <c r="C27" s="2">
        <f t="shared" si="1"/>
        <v>24</v>
      </c>
      <c r="D27" s="2">
        <f t="shared" si="2"/>
        <v>365</v>
      </c>
      <c r="E27" s="17">
        <f t="shared" si="3"/>
        <v>0</v>
      </c>
      <c r="F27" s="17">
        <f t="shared" si="4"/>
        <v>100</v>
      </c>
      <c r="G27" s="17">
        <f t="shared" si="5"/>
        <v>0</v>
      </c>
      <c r="H27" s="77">
        <f t="shared" si="13"/>
        <v>4.2363165254689266</v>
      </c>
      <c r="I27" s="3">
        <f t="shared" si="6"/>
        <v>60</v>
      </c>
      <c r="J27" s="49">
        <f t="shared" si="7"/>
        <v>2226.607965786468</v>
      </c>
      <c r="K27" s="59">
        <f t="shared" si="8"/>
        <v>0</v>
      </c>
      <c r="L27" s="6">
        <f t="shared" si="9"/>
        <v>60</v>
      </c>
      <c r="M27" s="49">
        <f t="shared" si="10"/>
        <v>2226.607965786468</v>
      </c>
      <c r="N27" s="59">
        <f t="shared" si="11"/>
        <v>0</v>
      </c>
      <c r="O27" s="68">
        <f t="shared" si="14"/>
        <v>0</v>
      </c>
      <c r="P27" s="64">
        <f t="shared" si="15"/>
        <v>0</v>
      </c>
      <c r="Q27" s="8">
        <f t="shared" si="16"/>
        <v>0</v>
      </c>
      <c r="R27" s="59">
        <f t="shared" si="17"/>
        <v>609005.68632699305</v>
      </c>
    </row>
    <row r="28" spans="1:18">
      <c r="A28">
        <f t="shared" si="12"/>
        <v>0</v>
      </c>
      <c r="B28" s="3">
        <f t="shared" si="0"/>
        <v>200</v>
      </c>
      <c r="C28" s="2">
        <f t="shared" si="1"/>
        <v>24</v>
      </c>
      <c r="D28" s="2">
        <f t="shared" si="2"/>
        <v>365</v>
      </c>
      <c r="E28" s="17">
        <f t="shared" si="3"/>
        <v>0</v>
      </c>
      <c r="F28" s="17">
        <f t="shared" si="4"/>
        <v>100</v>
      </c>
      <c r="G28" s="17">
        <f t="shared" si="5"/>
        <v>0</v>
      </c>
      <c r="H28" s="77">
        <f t="shared" si="13"/>
        <v>4.4989681500480003</v>
      </c>
      <c r="I28" s="3">
        <f t="shared" si="6"/>
        <v>60</v>
      </c>
      <c r="J28" s="49">
        <f t="shared" si="7"/>
        <v>2364.6576596652289</v>
      </c>
      <c r="K28" s="59">
        <f t="shared" si="8"/>
        <v>0</v>
      </c>
      <c r="L28" s="6">
        <f t="shared" si="9"/>
        <v>60</v>
      </c>
      <c r="M28" s="49">
        <f t="shared" si="10"/>
        <v>2364.6576596652289</v>
      </c>
      <c r="N28" s="59">
        <f t="shared" si="11"/>
        <v>0</v>
      </c>
      <c r="O28" s="68">
        <f t="shared" si="14"/>
        <v>0</v>
      </c>
      <c r="P28" s="64">
        <f t="shared" si="15"/>
        <v>0</v>
      </c>
      <c r="Q28" s="8">
        <f t="shared" si="16"/>
        <v>0</v>
      </c>
      <c r="R28" s="59">
        <f t="shared" si="17"/>
        <v>609005.68632699305</v>
      </c>
    </row>
    <row r="29" spans="1:18" ht="15.75" thickBot="1">
      <c r="A29">
        <f t="shared" si="12"/>
        <v>0</v>
      </c>
      <c r="B29" s="4">
        <f t="shared" si="0"/>
        <v>200</v>
      </c>
      <c r="C29" s="5">
        <f t="shared" si="1"/>
        <v>24</v>
      </c>
      <c r="D29" s="5">
        <f t="shared" si="2"/>
        <v>365</v>
      </c>
      <c r="E29" s="17">
        <f t="shared" si="3"/>
        <v>0</v>
      </c>
      <c r="F29" s="17">
        <f t="shared" si="4"/>
        <v>100</v>
      </c>
      <c r="G29" s="17">
        <f t="shared" si="5"/>
        <v>0</v>
      </c>
      <c r="H29" s="78">
        <f t="shared" si="13"/>
        <v>4.7779041753509768</v>
      </c>
      <c r="I29" s="4">
        <f t="shared" si="6"/>
        <v>60</v>
      </c>
      <c r="J29" s="47">
        <f t="shared" si="7"/>
        <v>2511.2664345644735</v>
      </c>
      <c r="K29" s="59">
        <f t="shared" si="8"/>
        <v>0</v>
      </c>
      <c r="L29" s="7">
        <f t="shared" si="9"/>
        <v>60</v>
      </c>
      <c r="M29" s="47">
        <f t="shared" si="10"/>
        <v>2511.2664345644735</v>
      </c>
      <c r="N29" s="59">
        <f t="shared" si="11"/>
        <v>0</v>
      </c>
      <c r="O29" s="69">
        <f t="shared" si="14"/>
        <v>0</v>
      </c>
      <c r="P29" s="64">
        <f t="shared" si="15"/>
        <v>0</v>
      </c>
      <c r="Q29" s="8">
        <f t="shared" si="16"/>
        <v>0</v>
      </c>
      <c r="R29" s="60">
        <f t="shared" si="17"/>
        <v>609005.68632699305</v>
      </c>
    </row>
    <row r="30" spans="1:18" ht="15.75" thickBot="1">
      <c r="B30" s="9"/>
      <c r="C30" s="10"/>
      <c r="D30" s="10"/>
      <c r="E30" s="18"/>
      <c r="F30" s="18"/>
      <c r="G30" s="18"/>
      <c r="H30" s="79"/>
      <c r="I30" s="9"/>
      <c r="J30" s="73"/>
      <c r="K30" s="61"/>
      <c r="L30" s="9"/>
      <c r="M30" s="73"/>
      <c r="N30" s="61"/>
      <c r="O30" s="70"/>
      <c r="P30" s="65"/>
      <c r="Q30" s="10"/>
      <c r="R30" s="61"/>
    </row>
    <row r="31" spans="1:18" ht="15.75" thickBot="1">
      <c r="A31" s="12" t="s">
        <v>0</v>
      </c>
      <c r="B31" s="13"/>
      <c r="C31" s="14"/>
      <c r="D31" s="14"/>
      <c r="E31" s="19">
        <f>SUM(E3:E29)</f>
        <v>15768000</v>
      </c>
      <c r="F31" s="19"/>
      <c r="G31" s="19"/>
      <c r="H31" s="80"/>
      <c r="I31" s="13"/>
      <c r="J31" s="74"/>
      <c r="K31" s="62">
        <f>SUM(K3:K29)</f>
        <v>1218011.3726539863</v>
      </c>
      <c r="L31" s="15"/>
      <c r="M31" s="74"/>
      <c r="N31" s="62">
        <f>SUM(N3:N29)</f>
        <v>609005.68632699316</v>
      </c>
      <c r="O31" s="71"/>
      <c r="P31" s="66">
        <f>SUM(P3:P29)</f>
        <v>609005.68632699305</v>
      </c>
      <c r="Q31" s="16"/>
      <c r="R31" s="62">
        <f>R29</f>
        <v>609005.68632699305</v>
      </c>
    </row>
  </sheetData>
  <sheetProtection password="CC09" sheet="1" objects="1" scenarios="1"/>
  <mergeCells count="4">
    <mergeCell ref="B1:H1"/>
    <mergeCell ref="I1:K1"/>
    <mergeCell ref="L1:N1"/>
    <mergeCell ref="O1:R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A9" sqref="A9:E9"/>
    </sheetView>
  </sheetViews>
  <sheetFormatPr defaultColWidth="8.85546875" defaultRowHeight="15"/>
  <cols>
    <col min="1" max="1" width="19.140625" bestFit="1" customWidth="1"/>
    <col min="2" max="2" width="12.7109375" bestFit="1" customWidth="1"/>
    <col min="3" max="3" width="15.42578125" bestFit="1" customWidth="1"/>
    <col min="4" max="4" width="13.5703125" bestFit="1" customWidth="1"/>
    <col min="5" max="5" width="12.5703125" bestFit="1" customWidth="1"/>
    <col min="6" max="6" width="9.140625" bestFit="1" customWidth="1"/>
    <col min="7" max="7" width="12.7109375" bestFit="1" customWidth="1"/>
    <col min="8" max="8" width="14" bestFit="1" customWidth="1"/>
    <col min="9" max="9" width="12.85546875" bestFit="1" customWidth="1"/>
    <col min="10" max="10" width="14.5703125" customWidth="1"/>
    <col min="11" max="11" width="22" bestFit="1" customWidth="1"/>
    <col min="12" max="12" width="19.7109375" bestFit="1" customWidth="1"/>
    <col min="13" max="13" width="15.140625" bestFit="1" customWidth="1"/>
    <col min="14" max="14" width="18.140625" bestFit="1" customWidth="1"/>
  </cols>
  <sheetData>
    <row r="1" spans="1:12" ht="15.75" thickBot="1"/>
    <row r="2" spans="1:12" ht="45.75" thickBot="1">
      <c r="A2" s="32" t="s">
        <v>40</v>
      </c>
      <c r="B2" s="33" t="s">
        <v>38</v>
      </c>
      <c r="C2" s="34" t="s">
        <v>58</v>
      </c>
      <c r="D2" s="35" t="s">
        <v>46</v>
      </c>
      <c r="E2" s="38" t="s">
        <v>45</v>
      </c>
    </row>
    <row r="3" spans="1:12" ht="15.75" thickBot="1">
      <c r="A3" s="27">
        <f>branduren_dag</f>
        <v>24</v>
      </c>
      <c r="B3" s="28">
        <f>branddagen_jaar</f>
        <v>365</v>
      </c>
      <c r="C3" s="31">
        <f>branduren_dag*branddagen_jaar</f>
        <v>8760</v>
      </c>
      <c r="D3" s="14">
        <f>projectduur</f>
        <v>9</v>
      </c>
      <c r="E3" s="20">
        <f>C3*D3</f>
        <v>78840</v>
      </c>
    </row>
    <row r="4" spans="1:12" ht="15.75" thickBot="1"/>
    <row r="5" spans="1:12" ht="15.75" thickBot="1">
      <c r="A5" s="189" t="s">
        <v>47</v>
      </c>
      <c r="B5" s="192"/>
      <c r="C5" s="192"/>
      <c r="D5" s="192"/>
      <c r="E5" s="193"/>
      <c r="F5" s="189" t="s">
        <v>52</v>
      </c>
      <c r="G5" s="192"/>
      <c r="H5" s="192"/>
      <c r="I5" s="192"/>
      <c r="J5" s="193"/>
    </row>
    <row r="6" spans="1:12">
      <c r="A6" s="36" t="s">
        <v>48</v>
      </c>
      <c r="B6" s="40" t="s">
        <v>51</v>
      </c>
      <c r="C6" s="41" t="s">
        <v>50</v>
      </c>
      <c r="D6" s="29" t="s">
        <v>49</v>
      </c>
      <c r="E6" s="30" t="s">
        <v>5</v>
      </c>
      <c r="F6" s="36" t="s">
        <v>48</v>
      </c>
      <c r="G6" s="40" t="s">
        <v>51</v>
      </c>
      <c r="H6" s="29" t="s">
        <v>50</v>
      </c>
      <c r="I6" s="29" t="s">
        <v>49</v>
      </c>
      <c r="J6" s="30" t="s">
        <v>5</v>
      </c>
      <c r="K6" s="26"/>
      <c r="L6" s="26"/>
    </row>
    <row r="7" spans="1:12" ht="15.75" thickBot="1">
      <c r="A7" s="37">
        <f>TL_leven</f>
        <v>18000</v>
      </c>
      <c r="B7" s="11">
        <f>FLOOR(E3/TL_leven,1)</f>
        <v>4</v>
      </c>
      <c r="C7" s="47">
        <f>TL_kost</f>
        <v>100</v>
      </c>
      <c r="D7" s="47">
        <f>TL_vervanging</f>
        <v>0</v>
      </c>
      <c r="E7" s="46">
        <f>B7*TL_kost+B7*TL_vervanging</f>
        <v>400</v>
      </c>
      <c r="F7" s="37">
        <f>TL_armatuurleven</f>
        <v>80000</v>
      </c>
      <c r="G7" s="11">
        <f>FLOOR(E3/F7,1)</f>
        <v>0</v>
      </c>
      <c r="H7" s="47">
        <f>TLarmatuur_kost</f>
        <v>650</v>
      </c>
      <c r="I7" s="47">
        <f>TLarmatuur_vervanging</f>
        <v>0</v>
      </c>
      <c r="J7" s="46">
        <f>G7*TLarmatuur_kost+G7*TLarmatuur_vervanging</f>
        <v>0</v>
      </c>
    </row>
    <row r="8" spans="1:12" ht="15.75" thickBot="1">
      <c r="G8" s="48"/>
    </row>
    <row r="9" spans="1:12" ht="15.75" thickBot="1">
      <c r="A9" s="186" t="s">
        <v>98</v>
      </c>
      <c r="B9" s="187"/>
      <c r="C9" s="187"/>
      <c r="D9" s="187"/>
      <c r="E9" s="188"/>
      <c r="F9" s="194"/>
      <c r="G9" s="194"/>
      <c r="H9" s="194"/>
      <c r="I9" s="194"/>
      <c r="J9" s="194"/>
    </row>
    <row r="10" spans="1:12">
      <c r="A10" s="36" t="s">
        <v>48</v>
      </c>
      <c r="B10" s="40" t="s">
        <v>51</v>
      </c>
      <c r="C10" s="41" t="s">
        <v>50</v>
      </c>
      <c r="D10" s="29" t="s">
        <v>49</v>
      </c>
      <c r="E10" s="30" t="s">
        <v>5</v>
      </c>
      <c r="F10" s="26"/>
      <c r="G10" s="26"/>
      <c r="H10" s="26"/>
      <c r="I10" s="26"/>
      <c r="J10" s="26"/>
    </row>
    <row r="11" spans="1:12" ht="15.75" thickBot="1">
      <c r="A11" s="37">
        <f>PPLstrip_leven</f>
        <v>80000</v>
      </c>
      <c r="B11" s="11">
        <f>FLOOR(E3/PPLstrip_leven,1)</f>
        <v>0</v>
      </c>
      <c r="C11" s="47">
        <f>PPLStrip_kost</f>
        <v>1800</v>
      </c>
      <c r="D11" s="47">
        <f>Överblick!B36</f>
        <v>0</v>
      </c>
      <c r="E11" s="46">
        <f>B11*PPLStrip_kost+B11*Överblick!B36</f>
        <v>0</v>
      </c>
    </row>
    <row r="12" spans="1:12" ht="15.75" thickBot="1"/>
    <row r="13" spans="1:12" ht="15.75" thickBot="1">
      <c r="A13" s="189" t="s">
        <v>53</v>
      </c>
      <c r="B13" s="190"/>
      <c r="C13" s="190"/>
      <c r="D13" s="190"/>
      <c r="E13" s="191"/>
    </row>
    <row r="14" spans="1:12" ht="45.75" thickBot="1">
      <c r="A14" s="42"/>
      <c r="B14" s="11" t="s">
        <v>57</v>
      </c>
      <c r="C14" s="23" t="s">
        <v>54</v>
      </c>
      <c r="D14" s="25" t="s">
        <v>55</v>
      </c>
      <c r="E14" s="42" t="s">
        <v>42</v>
      </c>
    </row>
    <row r="15" spans="1:12">
      <c r="A15" s="43" t="s">
        <v>20</v>
      </c>
      <c r="B15" s="1">
        <f>AantalLampen</f>
        <v>200</v>
      </c>
      <c r="C15" s="49">
        <f>E7+J7</f>
        <v>400</v>
      </c>
      <c r="D15" s="50">
        <f>B15*C15</f>
        <v>80000</v>
      </c>
      <c r="E15" s="51">
        <f>D15/projectduur</f>
        <v>8888.8888888888887</v>
      </c>
    </row>
    <row r="16" spans="1:12" ht="15.75" thickBot="1">
      <c r="A16" s="43" t="s">
        <v>86</v>
      </c>
      <c r="B16" s="1">
        <f>AantalLampenPPL</f>
        <v>100</v>
      </c>
      <c r="C16" s="49">
        <f>E11</f>
        <v>0</v>
      </c>
      <c r="D16" s="50">
        <f>B16*C16</f>
        <v>0</v>
      </c>
      <c r="E16" s="52">
        <f>D16/projectduur</f>
        <v>0</v>
      </c>
    </row>
    <row r="17" spans="1:5" ht="15.75" thickBot="1">
      <c r="A17" s="44" t="s">
        <v>1</v>
      </c>
      <c r="B17" s="39"/>
      <c r="C17" s="39"/>
      <c r="D17" s="54">
        <f>D15-D16</f>
        <v>80000</v>
      </c>
      <c r="E17" s="53">
        <f>D17/projectduur</f>
        <v>8888.8888888888887</v>
      </c>
    </row>
  </sheetData>
  <sheetProtection password="CC09" sheet="1" objects="1" scenarios="1"/>
  <mergeCells count="5">
    <mergeCell ref="A13:E13"/>
    <mergeCell ref="A5:E5"/>
    <mergeCell ref="F5:J5"/>
    <mergeCell ref="A9:E9"/>
    <mergeCell ref="F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2" sqref="A2"/>
    </sheetView>
  </sheetViews>
  <sheetFormatPr defaultColWidth="8.85546875" defaultRowHeight="15"/>
  <cols>
    <col min="1" max="1" width="5.28515625" customWidth="1"/>
    <col min="2" max="2" width="13.85546875" style="56" bestFit="1" customWidth="1"/>
    <col min="3" max="3" width="12.85546875" style="48" bestFit="1" customWidth="1"/>
    <col min="4" max="4" width="29.42578125" style="55" bestFit="1" customWidth="1"/>
    <col min="5" max="5" width="13.7109375" style="48" bestFit="1" customWidth="1"/>
    <col min="6" max="6" width="12.85546875" style="48" bestFit="1" customWidth="1"/>
    <col min="7" max="7" width="42.5703125" style="55" bestFit="1" customWidth="1"/>
    <col min="8" max="8" width="14.42578125" style="57" bestFit="1" customWidth="1"/>
  </cols>
  <sheetData>
    <row r="1" spans="1:8">
      <c r="B1" s="195" t="s">
        <v>20</v>
      </c>
      <c r="C1" s="195"/>
      <c r="D1" s="195"/>
      <c r="E1" s="195" t="s">
        <v>86</v>
      </c>
      <c r="F1" s="195"/>
      <c r="G1" s="195"/>
    </row>
    <row r="2" spans="1:8">
      <c r="A2" t="s">
        <v>37</v>
      </c>
      <c r="B2" s="56" t="s">
        <v>21</v>
      </c>
      <c r="C2" s="48" t="s">
        <v>49</v>
      </c>
      <c r="D2" s="55" t="s">
        <v>68</v>
      </c>
      <c r="E2" s="48" t="s">
        <v>21</v>
      </c>
      <c r="F2" s="48" t="s">
        <v>49</v>
      </c>
      <c r="G2" s="55" t="s">
        <v>97</v>
      </c>
      <c r="H2" s="57" t="s">
        <v>56</v>
      </c>
    </row>
    <row r="3" spans="1:8">
      <c r="A3">
        <f>Energibesparing!A3</f>
        <v>1</v>
      </c>
      <c r="B3" s="56">
        <f>Energibesparing!K3</f>
        <v>105120</v>
      </c>
      <c r="C3" s="48">
        <f>IF(A3=0,0,'Besparing med DOMO Power LED'!$E$15)</f>
        <v>8888.8888888888887</v>
      </c>
      <c r="D3" s="55">
        <f>IF(A3=0,"",B3+C3)</f>
        <v>114008.88888888889</v>
      </c>
      <c r="E3" s="48">
        <f>Energibesparing!N3</f>
        <v>52560</v>
      </c>
      <c r="F3" s="48">
        <f>IF(A3=0,0,'Besparing med DOMO Power LED'!$E$16)</f>
        <v>0</v>
      </c>
      <c r="G3" s="55">
        <f>IF(A3=0,"",E3+F3)</f>
        <v>52560</v>
      </c>
      <c r="H3" s="57">
        <f>IF(A3=0,0,D3-G3)</f>
        <v>61448.888888888891</v>
      </c>
    </row>
    <row r="4" spans="1:8">
      <c r="A4">
        <f>Energibesparing!A4</f>
        <v>2</v>
      </c>
      <c r="B4" s="56">
        <f>Energibesparing!K4</f>
        <v>111637.44000000002</v>
      </c>
      <c r="C4" s="48">
        <f>IF(A4=0,0,'Besparing med DOMO Power LED'!$E$15)</f>
        <v>8888.8888888888887</v>
      </c>
      <c r="D4" s="55">
        <f t="shared" ref="D4:D29" si="0">IF(A4=0,"",B4+C4)</f>
        <v>120526.32888888891</v>
      </c>
      <c r="E4" s="48">
        <f>Energibesparing!N4</f>
        <v>55818.720000000008</v>
      </c>
      <c r="F4" s="48">
        <f>IF(A4=0,0,'Besparing med DOMO Power LED'!$E$16)</f>
        <v>0</v>
      </c>
      <c r="G4" s="55">
        <f t="shared" ref="G4:G29" si="1">IF(A4=0,"",E4+F4)</f>
        <v>55818.720000000008</v>
      </c>
      <c r="H4" s="57">
        <f t="shared" ref="H4:H29" si="2">IF(A4=0,0,D4-G4)</f>
        <v>64707.608888888899</v>
      </c>
    </row>
    <row r="5" spans="1:8">
      <c r="A5">
        <f>Energibesparing!A5</f>
        <v>3</v>
      </c>
      <c r="B5" s="56">
        <f>Energibesparing!K5</f>
        <v>118558.96127999999</v>
      </c>
      <c r="C5" s="48">
        <f>IF(A5=0,0,'Besparing med DOMO Power LED'!$E$15)</f>
        <v>8888.8888888888887</v>
      </c>
      <c r="D5" s="55">
        <f t="shared" si="0"/>
        <v>127447.85016888888</v>
      </c>
      <c r="E5" s="48">
        <f>Energibesparing!N5</f>
        <v>59279.480640000009</v>
      </c>
      <c r="F5" s="48">
        <f>IF(A5=0,0,'Besparing med DOMO Power LED'!$E$16)</f>
        <v>0</v>
      </c>
      <c r="G5" s="55">
        <f t="shared" si="1"/>
        <v>59279.480640000009</v>
      </c>
      <c r="H5" s="57">
        <f t="shared" si="2"/>
        <v>68168.36952888887</v>
      </c>
    </row>
    <row r="6" spans="1:8">
      <c r="A6">
        <f>Energibesparing!A6</f>
        <v>4</v>
      </c>
      <c r="B6" s="56">
        <f>Energibesparing!K6</f>
        <v>125909.61687936001</v>
      </c>
      <c r="C6" s="48">
        <f>IF(A6=0,0,'Besparing med DOMO Power LED'!$E$15)</f>
        <v>8888.8888888888887</v>
      </c>
      <c r="D6" s="55">
        <f t="shared" si="0"/>
        <v>134798.5057682489</v>
      </c>
      <c r="E6" s="48">
        <f>Energibesparing!N6</f>
        <v>62954.808439680004</v>
      </c>
      <c r="F6" s="48">
        <f>IF(A6=0,0,'Besparing med DOMO Power LED'!$E$16)</f>
        <v>0</v>
      </c>
      <c r="G6" s="55">
        <f t="shared" si="1"/>
        <v>62954.808439680004</v>
      </c>
      <c r="H6" s="57">
        <f t="shared" si="2"/>
        <v>71843.697328568902</v>
      </c>
    </row>
    <row r="7" spans="1:8">
      <c r="A7">
        <f>Energibesparing!A7</f>
        <v>5</v>
      </c>
      <c r="B7" s="56">
        <f>Energibesparing!K7</f>
        <v>133716.01312588033</v>
      </c>
      <c r="C7" s="48">
        <f>IF(A7=0,0,'Besparing med DOMO Power LED'!$E$15)</f>
        <v>8888.8888888888887</v>
      </c>
      <c r="D7" s="55">
        <f t="shared" si="0"/>
        <v>142604.90201476921</v>
      </c>
      <c r="E7" s="48">
        <f>Energibesparing!N7</f>
        <v>66858.006562940165</v>
      </c>
      <c r="F7" s="48">
        <f>IF(A7=0,0,'Besparing med DOMO Power LED'!$E$16)</f>
        <v>0</v>
      </c>
      <c r="G7" s="55">
        <f t="shared" si="1"/>
        <v>66858.006562940165</v>
      </c>
      <c r="H7" s="57">
        <f t="shared" si="2"/>
        <v>75746.895451829041</v>
      </c>
    </row>
    <row r="8" spans="1:8">
      <c r="A8">
        <f>Energibesparing!A8</f>
        <v>6</v>
      </c>
      <c r="B8" s="56">
        <f>Energibesparing!K8</f>
        <v>142006.40593968489</v>
      </c>
      <c r="C8" s="48">
        <f>IF(A8=0,0,'Besparing med DOMO Power LED'!$E$15)</f>
        <v>8888.8888888888887</v>
      </c>
      <c r="D8" s="55">
        <f t="shared" si="0"/>
        <v>150895.29482857377</v>
      </c>
      <c r="E8" s="48">
        <f>Energibesparing!N8</f>
        <v>71003.202969842459</v>
      </c>
      <c r="F8" s="48">
        <f>IF(A8=0,0,'Besparing med DOMO Power LED'!$E$16)</f>
        <v>0</v>
      </c>
      <c r="G8" s="55">
        <f t="shared" si="1"/>
        <v>71003.202969842459</v>
      </c>
      <c r="H8" s="57">
        <f t="shared" si="2"/>
        <v>79892.091858731306</v>
      </c>
    </row>
    <row r="9" spans="1:8">
      <c r="A9">
        <f>Energibesparing!A9</f>
        <v>7</v>
      </c>
      <c r="B9" s="56">
        <f>Energibesparing!K9</f>
        <v>150810.80310794539</v>
      </c>
      <c r="C9" s="48">
        <f>IF(A9=0,0,'Besparing med DOMO Power LED'!$E$15)</f>
        <v>8888.8888888888887</v>
      </c>
      <c r="D9" s="55">
        <f t="shared" si="0"/>
        <v>159699.69199683427</v>
      </c>
      <c r="E9" s="48">
        <f>Energibesparing!N9</f>
        <v>75405.401553972712</v>
      </c>
      <c r="F9" s="48">
        <f>IF(A9=0,0,'Besparing med DOMO Power LED'!$E$16)</f>
        <v>0</v>
      </c>
      <c r="G9" s="55">
        <f t="shared" si="1"/>
        <v>75405.401553972712</v>
      </c>
      <c r="H9" s="57">
        <f t="shared" si="2"/>
        <v>84294.290442861558</v>
      </c>
    </row>
    <row r="10" spans="1:8">
      <c r="A10">
        <f>Energibesparing!A10</f>
        <v>8</v>
      </c>
      <c r="B10" s="56">
        <f>Energibesparing!K10</f>
        <v>160161.07290063801</v>
      </c>
      <c r="C10" s="48">
        <f>IF(A10=0,0,'Besparing med DOMO Power LED'!$E$15)</f>
        <v>8888.8888888888887</v>
      </c>
      <c r="D10" s="55">
        <f t="shared" si="0"/>
        <v>169049.96178952689</v>
      </c>
      <c r="E10" s="48">
        <f>Energibesparing!N10</f>
        <v>80080.536450319021</v>
      </c>
      <c r="F10" s="48">
        <f>IF(A10=0,0,'Besparing med DOMO Power LED'!$E$16)</f>
        <v>0</v>
      </c>
      <c r="G10" s="55">
        <f t="shared" si="1"/>
        <v>80080.536450319021</v>
      </c>
      <c r="H10" s="57">
        <f t="shared" si="2"/>
        <v>88969.425339207868</v>
      </c>
    </row>
    <row r="11" spans="1:8">
      <c r="A11">
        <f>Energibesparing!A11</f>
        <v>9</v>
      </c>
      <c r="B11" s="56">
        <f>Energibesparing!K11</f>
        <v>170091.0594204776</v>
      </c>
      <c r="C11" s="48">
        <f>IF(A11=0,0,'Besparing med DOMO Power LED'!$E$15)</f>
        <v>8888.8888888888887</v>
      </c>
      <c r="D11" s="55">
        <f t="shared" si="0"/>
        <v>178979.94830936647</v>
      </c>
      <c r="E11" s="48">
        <f>Energibesparing!N11</f>
        <v>85045.529710238799</v>
      </c>
      <c r="F11" s="48">
        <f>IF(A11=0,0,'Besparing med DOMO Power LED'!$E$16)</f>
        <v>0</v>
      </c>
      <c r="G11" s="55">
        <f t="shared" si="1"/>
        <v>85045.529710238799</v>
      </c>
      <c r="H11" s="57">
        <f t="shared" si="2"/>
        <v>93934.418599127675</v>
      </c>
    </row>
    <row r="12" spans="1:8">
      <c r="A12">
        <f>Energibesparing!A12</f>
        <v>0</v>
      </c>
      <c r="B12" s="56">
        <f>Energibesparing!K12</f>
        <v>0</v>
      </c>
      <c r="C12" s="48">
        <f>IF(A12=0,0,'Besparing med DOMO Power LED'!$E$15)</f>
        <v>0</v>
      </c>
      <c r="D12" s="55" t="str">
        <f t="shared" si="0"/>
        <v/>
      </c>
      <c r="E12" s="48">
        <f>Energibesparing!N12</f>
        <v>0</v>
      </c>
      <c r="F12" s="48">
        <f>IF(A12=0,0,'Besparing med DOMO Power LED'!$E$16)</f>
        <v>0</v>
      </c>
      <c r="G12" s="55" t="str">
        <f t="shared" si="1"/>
        <v/>
      </c>
      <c r="H12" s="57">
        <f t="shared" si="2"/>
        <v>0</v>
      </c>
    </row>
    <row r="13" spans="1:8">
      <c r="A13">
        <f>Energibesparing!A13</f>
        <v>0</v>
      </c>
      <c r="B13" s="56">
        <f>Energibesparing!K13</f>
        <v>0</v>
      </c>
      <c r="C13" s="48">
        <f>IF(A13=0,0,'Besparing med DOMO Power LED'!$E$15)</f>
        <v>0</v>
      </c>
      <c r="D13" s="55" t="str">
        <f t="shared" si="0"/>
        <v/>
      </c>
      <c r="E13" s="48">
        <f>Energibesparing!N13</f>
        <v>0</v>
      </c>
      <c r="F13" s="48">
        <f>IF(A13=0,0,'Besparing med DOMO Power LED'!$E$16)</f>
        <v>0</v>
      </c>
      <c r="G13" s="55" t="str">
        <f t="shared" si="1"/>
        <v/>
      </c>
      <c r="H13" s="57">
        <f t="shared" si="2"/>
        <v>0</v>
      </c>
    </row>
    <row r="14" spans="1:8">
      <c r="A14">
        <f>Energibesparing!A14</f>
        <v>0</v>
      </c>
      <c r="B14" s="56">
        <f>Energibesparing!K14</f>
        <v>0</v>
      </c>
      <c r="C14" s="48">
        <f>IF(A14=0,0,'Besparing med DOMO Power LED'!$E$15)</f>
        <v>0</v>
      </c>
      <c r="D14" s="55" t="str">
        <f t="shared" si="0"/>
        <v/>
      </c>
      <c r="E14" s="48">
        <f>Energibesparing!N14</f>
        <v>0</v>
      </c>
      <c r="F14" s="48">
        <f>IF(A14=0,0,'Besparing med DOMO Power LED'!$E$16)</f>
        <v>0</v>
      </c>
      <c r="G14" s="55" t="str">
        <f t="shared" si="1"/>
        <v/>
      </c>
      <c r="H14" s="57">
        <f t="shared" si="2"/>
        <v>0</v>
      </c>
    </row>
    <row r="15" spans="1:8">
      <c r="A15">
        <f>Energibesparing!A15</f>
        <v>0</v>
      </c>
      <c r="B15" s="56">
        <f>Energibesparing!K15</f>
        <v>0</v>
      </c>
      <c r="C15" s="48">
        <f>IF(A15=0,0,'Besparing med DOMO Power LED'!$E$15)</f>
        <v>0</v>
      </c>
      <c r="D15" s="55" t="str">
        <f t="shared" si="0"/>
        <v/>
      </c>
      <c r="E15" s="48">
        <f>Energibesparing!N15</f>
        <v>0</v>
      </c>
      <c r="F15" s="48">
        <f>IF(A15=0,0,'Besparing med DOMO Power LED'!$E$16)</f>
        <v>0</v>
      </c>
      <c r="G15" s="55" t="str">
        <f t="shared" si="1"/>
        <v/>
      </c>
      <c r="H15" s="57">
        <f t="shared" si="2"/>
        <v>0</v>
      </c>
    </row>
    <row r="16" spans="1:8">
      <c r="A16">
        <f>Energibesparing!A16</f>
        <v>0</v>
      </c>
      <c r="B16" s="56">
        <f>Energibesparing!K16</f>
        <v>0</v>
      </c>
      <c r="C16" s="48">
        <f>IF(A16=0,0,'Besparing med DOMO Power LED'!$E$15)</f>
        <v>0</v>
      </c>
      <c r="D16" s="55" t="str">
        <f t="shared" si="0"/>
        <v/>
      </c>
      <c r="E16" s="48">
        <f>Energibesparing!N16</f>
        <v>0</v>
      </c>
      <c r="F16" s="48">
        <f>IF(A16=0,0,'Besparing med DOMO Power LED'!$E$16)</f>
        <v>0</v>
      </c>
      <c r="G16" s="55" t="str">
        <f t="shared" si="1"/>
        <v/>
      </c>
      <c r="H16" s="57">
        <f t="shared" si="2"/>
        <v>0</v>
      </c>
    </row>
    <row r="17" spans="1:8">
      <c r="A17">
        <f>Energibesparing!A17</f>
        <v>0</v>
      </c>
      <c r="B17" s="56">
        <f>Energibesparing!K17</f>
        <v>0</v>
      </c>
      <c r="C17" s="48">
        <f>IF(A17=0,0,'Besparing med DOMO Power LED'!$E$15)</f>
        <v>0</v>
      </c>
      <c r="D17" s="55" t="str">
        <f t="shared" si="0"/>
        <v/>
      </c>
      <c r="E17" s="48">
        <f>Energibesparing!N17</f>
        <v>0</v>
      </c>
      <c r="F17" s="48">
        <f>IF(A17=0,0,'Besparing med DOMO Power LED'!$E$16)</f>
        <v>0</v>
      </c>
      <c r="G17" s="55" t="str">
        <f t="shared" si="1"/>
        <v/>
      </c>
      <c r="H17" s="57">
        <f t="shared" si="2"/>
        <v>0</v>
      </c>
    </row>
    <row r="18" spans="1:8">
      <c r="A18">
        <f>Energibesparing!A18</f>
        <v>0</v>
      </c>
      <c r="B18" s="56">
        <f>Energibesparing!K18</f>
        <v>0</v>
      </c>
      <c r="C18" s="48">
        <f>IF(A18=0,0,'Besparing med DOMO Power LED'!$E$15)</f>
        <v>0</v>
      </c>
      <c r="D18" s="55" t="str">
        <f t="shared" si="0"/>
        <v/>
      </c>
      <c r="E18" s="48">
        <f>Energibesparing!N18</f>
        <v>0</v>
      </c>
      <c r="F18" s="48">
        <f>IF(A18=0,0,'Besparing med DOMO Power LED'!$E$16)</f>
        <v>0</v>
      </c>
      <c r="G18" s="55" t="str">
        <f t="shared" si="1"/>
        <v/>
      </c>
      <c r="H18" s="57">
        <f t="shared" si="2"/>
        <v>0</v>
      </c>
    </row>
    <row r="19" spans="1:8">
      <c r="A19">
        <f>Energibesparing!A19</f>
        <v>0</v>
      </c>
      <c r="B19" s="56">
        <f>Energibesparing!K19</f>
        <v>0</v>
      </c>
      <c r="C19" s="48">
        <f>IF(A19=0,0,'Besparing med DOMO Power LED'!$E$15)</f>
        <v>0</v>
      </c>
      <c r="D19" s="55" t="str">
        <f t="shared" si="0"/>
        <v/>
      </c>
      <c r="E19" s="48">
        <f>Energibesparing!N19</f>
        <v>0</v>
      </c>
      <c r="F19" s="48">
        <f>IF(A19=0,0,'Besparing med DOMO Power LED'!$E$16)</f>
        <v>0</v>
      </c>
      <c r="G19" s="55" t="str">
        <f t="shared" si="1"/>
        <v/>
      </c>
      <c r="H19" s="57">
        <f t="shared" si="2"/>
        <v>0</v>
      </c>
    </row>
    <row r="20" spans="1:8">
      <c r="A20">
        <f>Energibesparing!A20</f>
        <v>0</v>
      </c>
      <c r="B20" s="56">
        <f>Energibesparing!K20</f>
        <v>0</v>
      </c>
      <c r="C20" s="48">
        <f>IF(A20=0,0,'Besparing med DOMO Power LED'!$E$15)</f>
        <v>0</v>
      </c>
      <c r="D20" s="55" t="str">
        <f t="shared" si="0"/>
        <v/>
      </c>
      <c r="E20" s="48">
        <f>Energibesparing!N20</f>
        <v>0</v>
      </c>
      <c r="F20" s="48">
        <f>IF(A20=0,0,'Besparing med DOMO Power LED'!$E$16)</f>
        <v>0</v>
      </c>
      <c r="G20" s="55" t="str">
        <f t="shared" si="1"/>
        <v/>
      </c>
      <c r="H20" s="57">
        <f t="shared" si="2"/>
        <v>0</v>
      </c>
    </row>
    <row r="21" spans="1:8">
      <c r="A21">
        <f>Energibesparing!A21</f>
        <v>0</v>
      </c>
      <c r="B21" s="56">
        <f>Energibesparing!K21</f>
        <v>0</v>
      </c>
      <c r="C21" s="48">
        <f>IF(A21=0,0,'Besparing med DOMO Power LED'!$E$15)</f>
        <v>0</v>
      </c>
      <c r="D21" s="55" t="str">
        <f t="shared" si="0"/>
        <v/>
      </c>
      <c r="E21" s="48">
        <f>Energibesparing!N21</f>
        <v>0</v>
      </c>
      <c r="F21" s="48">
        <f>IF(A21=0,0,'Besparing med DOMO Power LED'!$E$16)</f>
        <v>0</v>
      </c>
      <c r="G21" s="55" t="str">
        <f t="shared" si="1"/>
        <v/>
      </c>
      <c r="H21" s="57">
        <f t="shared" si="2"/>
        <v>0</v>
      </c>
    </row>
    <row r="22" spans="1:8">
      <c r="A22">
        <f>Energibesparing!A22</f>
        <v>0</v>
      </c>
      <c r="B22" s="56">
        <f>Energibesparing!K22</f>
        <v>0</v>
      </c>
      <c r="C22" s="48">
        <f>IF(A22=0,0,'Besparing med DOMO Power LED'!$E$15)</f>
        <v>0</v>
      </c>
      <c r="D22" s="55" t="str">
        <f t="shared" si="0"/>
        <v/>
      </c>
      <c r="E22" s="48">
        <f>Energibesparing!N22</f>
        <v>0</v>
      </c>
      <c r="F22" s="48">
        <f>IF(A22=0,0,'Besparing med DOMO Power LED'!$E$16)</f>
        <v>0</v>
      </c>
      <c r="G22" s="55" t="str">
        <f t="shared" si="1"/>
        <v/>
      </c>
      <c r="H22" s="57">
        <f t="shared" si="2"/>
        <v>0</v>
      </c>
    </row>
    <row r="23" spans="1:8">
      <c r="A23">
        <f>Energibesparing!A23</f>
        <v>0</v>
      </c>
      <c r="B23" s="56">
        <f>Energibesparing!K23</f>
        <v>0</v>
      </c>
      <c r="C23" s="48">
        <f>IF(A23=0,0,'Besparing med DOMO Power LED'!$E$15)</f>
        <v>0</v>
      </c>
      <c r="D23" s="55" t="str">
        <f t="shared" si="0"/>
        <v/>
      </c>
      <c r="E23" s="48">
        <f>Energibesparing!N23</f>
        <v>0</v>
      </c>
      <c r="F23" s="48">
        <f>IF(A23=0,0,'Besparing med DOMO Power LED'!$E$16)</f>
        <v>0</v>
      </c>
      <c r="G23" s="55" t="str">
        <f t="shared" si="1"/>
        <v/>
      </c>
      <c r="H23" s="57">
        <f t="shared" si="2"/>
        <v>0</v>
      </c>
    </row>
    <row r="24" spans="1:8">
      <c r="A24">
        <f>Energibesparing!A24</f>
        <v>0</v>
      </c>
      <c r="B24" s="56">
        <f>Energibesparing!K24</f>
        <v>0</v>
      </c>
      <c r="C24" s="48">
        <f>IF(A24=0,0,'Besparing med DOMO Power LED'!$E$15)</f>
        <v>0</v>
      </c>
      <c r="D24" s="55" t="str">
        <f t="shared" si="0"/>
        <v/>
      </c>
      <c r="E24" s="48">
        <f>Energibesparing!N24</f>
        <v>0</v>
      </c>
      <c r="F24" s="48">
        <f>IF(A24=0,0,'Besparing med DOMO Power LED'!$E$16)</f>
        <v>0</v>
      </c>
      <c r="G24" s="55" t="str">
        <f t="shared" si="1"/>
        <v/>
      </c>
      <c r="H24" s="57">
        <f t="shared" si="2"/>
        <v>0</v>
      </c>
    </row>
    <row r="25" spans="1:8">
      <c r="A25">
        <f>Energibesparing!A25</f>
        <v>0</v>
      </c>
      <c r="B25" s="56">
        <f>Energibesparing!K25</f>
        <v>0</v>
      </c>
      <c r="C25" s="48">
        <f>IF(A25=0,0,'Besparing med DOMO Power LED'!$E$15)</f>
        <v>0</v>
      </c>
      <c r="D25" s="55" t="str">
        <f t="shared" si="0"/>
        <v/>
      </c>
      <c r="E25" s="48">
        <f>Energibesparing!N25</f>
        <v>0</v>
      </c>
      <c r="F25" s="48">
        <f>IF(A25=0,0,'Besparing med DOMO Power LED'!$E$16)</f>
        <v>0</v>
      </c>
      <c r="G25" s="55" t="str">
        <f t="shared" si="1"/>
        <v/>
      </c>
      <c r="H25" s="57">
        <f t="shared" si="2"/>
        <v>0</v>
      </c>
    </row>
    <row r="26" spans="1:8">
      <c r="A26">
        <f>Energibesparing!A26</f>
        <v>0</v>
      </c>
      <c r="B26" s="56">
        <f>Energibesparing!K26</f>
        <v>0</v>
      </c>
      <c r="C26" s="48">
        <f>IF(A26=0,0,'Besparing med DOMO Power LED'!$E$15)</f>
        <v>0</v>
      </c>
      <c r="D26" s="55" t="str">
        <f t="shared" si="0"/>
        <v/>
      </c>
      <c r="E26" s="48">
        <f>Energibesparing!N26</f>
        <v>0</v>
      </c>
      <c r="F26" s="48">
        <f>IF(A26=0,0,'Besparing med DOMO Power LED'!$E$16)</f>
        <v>0</v>
      </c>
      <c r="G26" s="55" t="str">
        <f t="shared" si="1"/>
        <v/>
      </c>
      <c r="H26" s="57">
        <f t="shared" si="2"/>
        <v>0</v>
      </c>
    </row>
    <row r="27" spans="1:8">
      <c r="A27">
        <f>Energibesparing!A27</f>
        <v>0</v>
      </c>
      <c r="B27" s="56">
        <f>Energibesparing!K27</f>
        <v>0</v>
      </c>
      <c r="C27" s="48">
        <f>IF(A27=0,0,'Besparing med DOMO Power LED'!$E$15)</f>
        <v>0</v>
      </c>
      <c r="D27" s="55" t="str">
        <f t="shared" si="0"/>
        <v/>
      </c>
      <c r="E27" s="48">
        <f>Energibesparing!N27</f>
        <v>0</v>
      </c>
      <c r="F27" s="48">
        <f>IF(A27=0,0,'Besparing med DOMO Power LED'!$E$16)</f>
        <v>0</v>
      </c>
      <c r="G27" s="55" t="str">
        <f t="shared" si="1"/>
        <v/>
      </c>
      <c r="H27" s="57">
        <f t="shared" si="2"/>
        <v>0</v>
      </c>
    </row>
    <row r="28" spans="1:8">
      <c r="A28">
        <f>Energibesparing!A28</f>
        <v>0</v>
      </c>
      <c r="B28" s="56">
        <f>Energibesparing!K28</f>
        <v>0</v>
      </c>
      <c r="C28" s="48">
        <f>IF(A28=0,0,'Besparing med DOMO Power LED'!$E$15)</f>
        <v>0</v>
      </c>
      <c r="D28" s="55" t="str">
        <f t="shared" si="0"/>
        <v/>
      </c>
      <c r="E28" s="48">
        <f>Energibesparing!N28</f>
        <v>0</v>
      </c>
      <c r="F28" s="48">
        <f>IF(A28=0,0,'Besparing med DOMO Power LED'!$E$16)</f>
        <v>0</v>
      </c>
      <c r="G28" s="55" t="str">
        <f t="shared" si="1"/>
        <v/>
      </c>
      <c r="H28" s="57">
        <f t="shared" si="2"/>
        <v>0</v>
      </c>
    </row>
    <row r="29" spans="1:8">
      <c r="A29">
        <f>Energibesparing!A29</f>
        <v>0</v>
      </c>
      <c r="B29" s="56">
        <f>Energibesparing!K29</f>
        <v>0</v>
      </c>
      <c r="C29" s="48">
        <f>IF(A29=0,0,'Besparing med DOMO Power LED'!$E$15)</f>
        <v>0</v>
      </c>
      <c r="D29" s="55" t="str">
        <f t="shared" si="0"/>
        <v/>
      </c>
      <c r="E29" s="48">
        <f>Energibesparing!N29</f>
        <v>0</v>
      </c>
      <c r="F29" s="48">
        <f>IF(A29=0,0,'Besparing med DOMO Power LED'!$E$16)</f>
        <v>0</v>
      </c>
      <c r="G29" s="55" t="str">
        <f t="shared" si="1"/>
        <v/>
      </c>
      <c r="H29" s="57">
        <f t="shared" si="2"/>
        <v>0</v>
      </c>
    </row>
  </sheetData>
  <sheetProtection password="CC09" sheet="1" objects="1" scenarios="1"/>
  <mergeCells count="2">
    <mergeCell ref="B1:D1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XFD1048576"/>
    </sheetView>
  </sheetViews>
  <sheetFormatPr defaultRowHeight="12.75"/>
  <cols>
    <col min="1" max="1" width="52.42578125" style="83" bestFit="1" customWidth="1"/>
    <col min="2" max="2" width="12.140625" style="83" bestFit="1" customWidth="1"/>
    <col min="3" max="3" width="19.28515625" style="83" bestFit="1" customWidth="1"/>
    <col min="4" max="4" width="12.140625" style="83" bestFit="1" customWidth="1"/>
    <col min="5" max="16384" width="9.140625" style="83"/>
  </cols>
  <sheetData>
    <row r="1" spans="1:4" ht="15">
      <c r="A1" s="88"/>
    </row>
    <row r="4" spans="1:4">
      <c r="B4" s="84"/>
      <c r="C4" s="84"/>
      <c r="D4" s="84"/>
    </row>
    <row r="5" spans="1:4">
      <c r="B5" s="84"/>
      <c r="C5" s="84"/>
      <c r="D5" s="84"/>
    </row>
    <row r="6" spans="1:4">
      <c r="B6" s="84"/>
      <c r="C6" s="84"/>
      <c r="D6" s="84"/>
    </row>
    <row r="7" spans="1:4">
      <c r="B7" s="84"/>
      <c r="C7" s="84"/>
      <c r="D7" s="84"/>
    </row>
    <row r="8" spans="1:4">
      <c r="B8" s="84"/>
    </row>
    <row r="9" spans="1:4">
      <c r="B9" s="84"/>
    </row>
    <row r="10" spans="1:4">
      <c r="B10" s="84"/>
    </row>
    <row r="11" spans="1:4">
      <c r="B11" s="84"/>
    </row>
    <row r="12" spans="1:4">
      <c r="B12" s="84"/>
    </row>
    <row r="13" spans="1:4">
      <c r="B13" s="84"/>
    </row>
    <row r="14" spans="1:4">
      <c r="B14" s="84"/>
    </row>
    <row r="15" spans="1:4">
      <c r="B15" s="84"/>
    </row>
    <row r="16" spans="1:4">
      <c r="B16" s="84"/>
    </row>
    <row r="17" spans="2:2">
      <c r="B17" s="84"/>
    </row>
    <row r="18" spans="2:2">
      <c r="B18" s="84"/>
    </row>
    <row r="19" spans="2:2">
      <c r="B19" s="85"/>
    </row>
    <row r="20" spans="2:2">
      <c r="B20" s="84"/>
    </row>
    <row r="21" spans="2:2">
      <c r="B21" s="84"/>
    </row>
    <row r="22" spans="2:2">
      <c r="B22" s="84"/>
    </row>
    <row r="23" spans="2:2">
      <c r="B23" s="84"/>
    </row>
    <row r="24" spans="2:2">
      <c r="B24" s="84"/>
    </row>
    <row r="25" spans="2:2">
      <c r="B25" s="84"/>
    </row>
    <row r="26" spans="2:2">
      <c r="B26" s="86"/>
    </row>
    <row r="27" spans="2:2">
      <c r="B27" s="8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24</vt:i4>
      </vt:variant>
    </vt:vector>
  </HeadingPairs>
  <TitlesOfParts>
    <vt:vector size="29" baseType="lpstr">
      <vt:lpstr>Överblick</vt:lpstr>
      <vt:lpstr>Energibesparing</vt:lpstr>
      <vt:lpstr>Besparing med DOMO Power LED</vt:lpstr>
      <vt:lpstr>Data</vt:lpstr>
      <vt:lpstr>Blad1</vt:lpstr>
      <vt:lpstr>AantalLampen</vt:lpstr>
      <vt:lpstr>AantalLampenPPL</vt:lpstr>
      <vt:lpstr>branddagen_jaar</vt:lpstr>
      <vt:lpstr>branduren_dag</vt:lpstr>
      <vt:lpstr>CO2perKWH</vt:lpstr>
      <vt:lpstr>Energie_inflatie</vt:lpstr>
      <vt:lpstr>KWHprijs</vt:lpstr>
      <vt:lpstr>PPL_installatie</vt:lpstr>
      <vt:lpstr>PPL_kost</vt:lpstr>
      <vt:lpstr>PPLStrip_kost</vt:lpstr>
      <vt:lpstr>PPLstrip_leven</vt:lpstr>
      <vt:lpstr>projectduur</vt:lpstr>
      <vt:lpstr>Subsidie</vt:lpstr>
      <vt:lpstr>TL_armatuurleven</vt:lpstr>
      <vt:lpstr>TL_kost</vt:lpstr>
      <vt:lpstr>TL_leven</vt:lpstr>
      <vt:lpstr>TL_vervanging</vt:lpstr>
      <vt:lpstr>TLarmatuur_kost</vt:lpstr>
      <vt:lpstr>TLarmatuur_leven</vt:lpstr>
      <vt:lpstr>TLarmatuur_vervanging</vt:lpstr>
      <vt:lpstr>Överblick!Utskriftsområde</vt:lpstr>
      <vt:lpstr>Watt_LED</vt:lpstr>
      <vt:lpstr>Watt_PPL</vt:lpstr>
      <vt:lpstr>Watt_TL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2012-12-05T10:38:19Z</cp:lastPrinted>
  <dcterms:created xsi:type="dcterms:W3CDTF">2012-05-13T06:22:29Z</dcterms:created>
  <dcterms:modified xsi:type="dcterms:W3CDTF">2012-12-06T12:30:21Z</dcterms:modified>
</cp:coreProperties>
</file>